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/>
  <mc:AlternateContent xmlns:mc="http://schemas.openxmlformats.org/markup-compatibility/2006">
    <mc:Choice Requires="x15">
      <x15ac:absPath xmlns:x15ac="http://schemas.microsoft.com/office/spreadsheetml/2010/11/ac" url="\\sperfils01\usuaris\mraurell\Desktop\"/>
    </mc:Choice>
  </mc:AlternateContent>
  <xr:revisionPtr revIDLastSave="0" documentId="10_ncr:100000_{F7495F44-D60E-47F5-89A1-2A7ED64517A1}" xr6:coauthVersionLast="31" xr6:coauthVersionMax="31" xr10:uidLastSave="{00000000-0000-0000-0000-000000000000}"/>
  <workbookProtection workbookAlgorithmName="SHA-512" workbookHashValue="wB2Qv145vD5fWEmaiOVYZevfeclOwNkAPABu9Nt+yocbN4z1rzTLZ/4x3TZpbmhCZvtcrhcp0gotZih2xCue1g==" workbookSaltValue="eqX9pADQjB6D2xcL6YoHIA==" workbookSpinCount="100000" lockStructure="1"/>
  <bookViews>
    <workbookView xWindow="0" yWindow="0" windowWidth="25995" windowHeight="11355" xr2:uid="{00000000-000D-0000-FFFF-FFFF00000000}"/>
  </bookViews>
  <sheets>
    <sheet name="Sol·licitant " sheetId="1" r:id="rId1"/>
    <sheet name="Participant 01" sheetId="2" r:id="rId2"/>
    <sheet name="Participant 02" sheetId="3" r:id="rId3"/>
    <sheet name="Participant 03" sheetId="4" r:id="rId4"/>
    <sheet name="XX" sheetId="5" state="hidden" r:id="rId5"/>
  </sheets>
  <definedNames>
    <definedName name="aigua1_2017">'Participant 01'!$E$50</definedName>
    <definedName name="aigua1_2018">'Participant 01'!$F$50</definedName>
    <definedName name="aigua1_2019">'Participant 01'!$G$50</definedName>
    <definedName name="aigua1_2020">'Participant 01'!$H$50</definedName>
    <definedName name="aigua1_2021">'Participant 01'!$I$50</definedName>
    <definedName name="aigua1_2022">'Participant 01'!$J$50</definedName>
    <definedName name="aigua1_2023">'Participant 01'!$K$50</definedName>
    <definedName name="aigua2_2017">'Participant 02'!$E$50</definedName>
    <definedName name="aigua2_2018">'Participant 02'!$F$50</definedName>
    <definedName name="aigua2_2019">'Participant 02'!$G$50</definedName>
    <definedName name="aigua2_2020">'Participant 02'!$H$50</definedName>
    <definedName name="aigua2_2021">'Participant 02'!$I$50</definedName>
    <definedName name="aigua2_2022">'Participant 02'!$J$50</definedName>
    <definedName name="aigua2_2023">'Participant 02'!$K$50</definedName>
    <definedName name="aigua2017">'Sol·licitant '!$E$51</definedName>
    <definedName name="aigua2018">'Sol·licitant '!$F$51</definedName>
    <definedName name="aigua2019">'Sol·licitant '!$G$51</definedName>
    <definedName name="aigua2020">'Sol·licitant '!$H$51</definedName>
    <definedName name="aigua2021">'Sol·licitant '!$I$51</definedName>
    <definedName name="aigua2022">'Sol·licitant '!$J$51</definedName>
    <definedName name="aigua2023">'Sol·licitant '!$K$51</definedName>
    <definedName name="aigua3_2017">'Participant 03'!$E$50</definedName>
    <definedName name="aigua3_2018">'Participant 03'!$F$50</definedName>
    <definedName name="aigua3_2019">'Participant 03'!$G$50</definedName>
    <definedName name="aigua3_2020">'Participant 03'!$H$50</definedName>
    <definedName name="aigua3_2021">'Participant 03'!$I$50</definedName>
    <definedName name="aigua3_2022">'Participant 03'!$J$50</definedName>
    <definedName name="aigua3_2023">'Participant 03'!$K$50</definedName>
    <definedName name="ajudes1_2017">'Participant 01'!$E$12</definedName>
    <definedName name="ajudes1_2018">'Participant 01'!$F$12</definedName>
    <definedName name="ajudes1_2019">'Participant 01'!$G$12</definedName>
    <definedName name="ajudes1_2020">'Participant 01'!$H$12</definedName>
    <definedName name="ajudes1_2021">'Participant 01'!$I$12</definedName>
    <definedName name="ajudes1_2022">'Participant 01'!$J$12</definedName>
    <definedName name="ajudes1_2023">'Participant 01'!$K$12</definedName>
    <definedName name="ajudes2_2017">'Participant 02'!$E$12</definedName>
    <definedName name="ajudes2_2018">'Participant 02'!$F$12</definedName>
    <definedName name="ajudes2_2019">'Participant 02'!$G$12</definedName>
    <definedName name="ajudes2_2020">'Participant 02'!$H$12</definedName>
    <definedName name="ajudes2_2021">'Participant 02'!$I$12</definedName>
    <definedName name="ajudes2_2022">'Participant 02'!$J$12</definedName>
    <definedName name="ajudes2_2023">'Participant 02'!$K$12</definedName>
    <definedName name="ajudes2017">'Sol·licitant '!$E$13</definedName>
    <definedName name="ajudes2018">'Sol·licitant '!$F$13</definedName>
    <definedName name="ajudes2019">'Sol·licitant '!$G$13</definedName>
    <definedName name="ajudes2020">'Sol·licitant '!$H$13</definedName>
    <definedName name="ajudes2021">'Sol·licitant '!$I$13</definedName>
    <definedName name="ajudes2022">'Sol·licitant '!$J$13</definedName>
    <definedName name="ajudes2023">'Sol·licitant '!$K$13</definedName>
    <definedName name="ajudes3_2017">'Participant 03'!$E$12</definedName>
    <definedName name="ajudes3_2018">'Participant 03'!$F$12</definedName>
    <definedName name="ajudes3_2019">'Participant 03'!$G$12</definedName>
    <definedName name="ajudes3_2020">'Participant 03'!$H$12</definedName>
    <definedName name="ajudes3_2021">'Participant 03'!$I$12</definedName>
    <definedName name="ajudes3_2022">'Participant 03'!$J$12</definedName>
    <definedName name="ajudes3_2023">'Participant 03'!$K$12</definedName>
    <definedName name="_xlnm.Print_Area" localSheetId="3">'Participant 03'!$A$1:$K$53</definedName>
    <definedName name="centresrecerca1_2017">'Participant 01'!$E$38</definedName>
    <definedName name="centresrecerca1_2018">'Participant 01'!$F$38</definedName>
    <definedName name="centresrecerca1_2019">'Participant 01'!$G$38</definedName>
    <definedName name="centresrecerca1_2020">'Participant 01'!$H$38</definedName>
    <definedName name="centresrecerca1_2021">'Participant 01'!$I$38</definedName>
    <definedName name="centresrecerca1_2022">'Participant 01'!$J$38</definedName>
    <definedName name="centresrecerca1_2023">'Participant 01'!$K$38</definedName>
    <definedName name="centresrecerca2_2017">'Participant 02'!$E$38</definedName>
    <definedName name="centresrecerca2_2018">'Participant 02'!$F$38</definedName>
    <definedName name="centresrecerca2_2019">'Participant 02'!$G$38</definedName>
    <definedName name="centresrecerca2_2020">'Participant 02'!$H$38</definedName>
    <definedName name="centresrecerca2_2021">'Participant 02'!$I$38</definedName>
    <definedName name="centresrecerca2_2022">'Participant 02'!$J$38</definedName>
    <definedName name="centresrecerca2_2023">'Participant 02'!$K$38</definedName>
    <definedName name="centresrecerca2017">'Sol·licitant '!$E$39</definedName>
    <definedName name="centresrecerca2018">'Sol·licitant '!$F$39</definedName>
    <definedName name="centresrecerca2019">'Sol·licitant '!$G$39</definedName>
    <definedName name="centresrecerca2020">'Sol·licitant '!$H$39</definedName>
    <definedName name="centresrecerca2021">'Sol·licitant '!$I$39</definedName>
    <definedName name="centresrecerca2022">'Sol·licitant '!$J$39</definedName>
    <definedName name="centresrecerca2023">'Sol·licitant '!$K$39</definedName>
    <definedName name="centresrecerca3_2017">'Participant 03'!$E$38</definedName>
    <definedName name="centresrecerca3_2018">'Participant 03'!$F$38</definedName>
    <definedName name="centresrecerca3_2019">'Participant 03'!$G$38</definedName>
    <definedName name="centresrecerca3_2020">'Participant 03'!$H$38</definedName>
    <definedName name="centresrecerca3_2021">'Participant 03'!$I$38</definedName>
    <definedName name="centresrecerca3_2022">'Participant 03'!$J$38</definedName>
    <definedName name="centresrecerca3_2023">'Participant 03'!$K$38</definedName>
    <definedName name="centrestecnologics1_2017">'Participant 01'!$E$36</definedName>
    <definedName name="centrestecnologics1_2018">'Participant 01'!$F$36</definedName>
    <definedName name="centrestecnologics1_2019">'Participant 01'!$G$36</definedName>
    <definedName name="centrestecnologics1_2020">'Participant 01'!$H$36</definedName>
    <definedName name="centrestecnologics1_2021">'Participant 01'!$I$36</definedName>
    <definedName name="centrestecnologics1_2022">'Participant 01'!$J$36</definedName>
    <definedName name="centrestecnologics1_2023">'Participant 01'!$K$36</definedName>
    <definedName name="centrestecnologics2_2017">'Participant 02'!$E$36</definedName>
    <definedName name="centrestecnologics2_2018">'Participant 02'!$F$36</definedName>
    <definedName name="centrestecnologics2_2019">'Participant 02'!$G$36</definedName>
    <definedName name="centrestecnologics2_2020">'Participant 02'!$H$36</definedName>
    <definedName name="centrestecnologics2_2021">'Participant 02'!$I$36</definedName>
    <definedName name="centrestecnologics2_2022">'Participant 02'!$J$36</definedName>
    <definedName name="centrestecnologics2_2023">'Participant 02'!$K$36</definedName>
    <definedName name="centrestecnologics2017">'Sol·licitant '!$E$37</definedName>
    <definedName name="centrestecnologics2018">'Sol·licitant '!$F$37</definedName>
    <definedName name="centrestecnologics2019">'Sol·licitant '!$G$37</definedName>
    <definedName name="centrestecnologics2020">'Sol·licitant '!$H$37</definedName>
    <definedName name="centrestecnologics2021">'Sol·licitant '!$I$37</definedName>
    <definedName name="centrestecnologics2022">'Sol·licitant '!$J$37</definedName>
    <definedName name="centrestecnologics2023">'Sol·licitant '!$K$37</definedName>
    <definedName name="centrestecnologics3_2017">'Participant 03'!$E$36</definedName>
    <definedName name="centrestecnologics3_2018">'Participant 03'!$F$36</definedName>
    <definedName name="centrestecnologics3_2019">'Participant 03'!$G$36</definedName>
    <definedName name="centrestecnologics3_2020">'Participant 03'!$H$36</definedName>
    <definedName name="centrestecnologics3_2021">'Participant 03'!$I$36</definedName>
    <definedName name="centrestecnologics3_2022">'Participant 03'!$J$36</definedName>
    <definedName name="centrestecnologics3_2023">'Participant 03'!$K$36</definedName>
    <definedName name="certificacio1_2017">'Participant 01'!$E$26</definedName>
    <definedName name="certificacio1_2018">'Participant 01'!$F$26</definedName>
    <definedName name="certificacio1_2019">'Participant 01'!$G$26</definedName>
    <definedName name="certificacio1_2020">'Participant 01'!$H$26</definedName>
    <definedName name="certificacio1_2021">'Participant 01'!$I$26</definedName>
    <definedName name="certificacio1_2022">'Participant 01'!$J$26</definedName>
    <definedName name="certificacio1_2023">'Participant 01'!$K$26</definedName>
    <definedName name="certificacio2_2017">'Participant 02'!$E$26</definedName>
    <definedName name="certificacio2_2018">'Participant 02'!$F$26</definedName>
    <definedName name="certificacio2_2019">'Participant 02'!$G$26</definedName>
    <definedName name="certificacio2_2020">'Participant 02'!$H$26</definedName>
    <definedName name="certificacio2_2021">'Participant 02'!$I$26</definedName>
    <definedName name="certificacio2_2022">'Participant 02'!$J$26</definedName>
    <definedName name="certificacio2_2023">'Participant 02'!$K$26</definedName>
    <definedName name="certificacio2017">'Sol·licitant '!$E$27</definedName>
    <definedName name="certificacio2018">'Sol·licitant '!$F$27</definedName>
    <definedName name="certificacio2019">'Sol·licitant '!$G$27</definedName>
    <definedName name="certificacio2020">'Sol·licitant '!$H$27</definedName>
    <definedName name="certificacio2021">'Sol·licitant '!$I$27</definedName>
    <definedName name="certificacio2022">'Sol·licitant '!$J$27</definedName>
    <definedName name="certificacio2023">'Sol·licitant '!$K$27</definedName>
    <definedName name="certificacio3_2017">'Participant 03'!$E$26</definedName>
    <definedName name="certificacio3_2018">'Participant 03'!$F$26</definedName>
    <definedName name="certificacio3_2019">'Participant 03'!$G$26</definedName>
    <definedName name="certificacio3_2020">'Participant 03'!$H$26</definedName>
    <definedName name="certificacio3_2021">'Participant 03'!$I$26</definedName>
    <definedName name="certificacio3_2022">'Participant 03'!$J$26</definedName>
    <definedName name="certificacio3_2023">'Participant 03'!$K$26</definedName>
    <definedName name="codiexp1">'Sol·licitant '!$C$5</definedName>
    <definedName name="codiexp2">#REF!</definedName>
    <definedName name="codiexp3">#REF!</definedName>
    <definedName name="codiexp4">#REF!</definedName>
    <definedName name="codiparticipant00">'Sol·licitant '!$C$6</definedName>
    <definedName name="codiparticipant1">'Participant 01'!$C$6</definedName>
    <definedName name="codiparticipant2">'Participant 02'!$C$6</definedName>
    <definedName name="codiparticipant3">'Participant 03'!$C$6</definedName>
    <definedName name="copera1_2017">'Participant 01'!$E$18</definedName>
    <definedName name="copera1_2018">'Participant 01'!$F$18</definedName>
    <definedName name="copera1_2019">'Participant 01'!$G$18</definedName>
    <definedName name="copera1_2020">'Participant 01'!$H$18</definedName>
    <definedName name="copera1_2021">'Participant 01'!$I$18</definedName>
    <definedName name="copera1_2022">'Participant 01'!$J$18</definedName>
    <definedName name="copera1_2023">'Participant 01'!$K$18</definedName>
    <definedName name="copera2_2017">'Participant 02'!$E$18</definedName>
    <definedName name="copera2_2018">'Participant 02'!$F$18</definedName>
    <definedName name="copera2_2019">'Participant 02'!$G$18</definedName>
    <definedName name="copera2_2020">'Participant 02'!$H$18</definedName>
    <definedName name="copera2_2021">'Participant 02'!$I$18</definedName>
    <definedName name="copera2_2022">'Participant 02'!$J$18</definedName>
    <definedName name="copera2_2023">'Participant 02'!$K$18</definedName>
    <definedName name="copera2017">'Sol·licitant '!$E$19</definedName>
    <definedName name="copera2018">'Sol·licitant '!$F$19</definedName>
    <definedName name="copera2019">'Sol·licitant '!$G$19</definedName>
    <definedName name="copera2020">'Sol·licitant '!$H$19</definedName>
    <definedName name="copera2021">'Sol·licitant '!$I$19</definedName>
    <definedName name="copera2022">'Sol·licitant '!$J$19</definedName>
    <definedName name="copera2023">'Sol·licitant '!$K$19</definedName>
    <definedName name="copera3_2017">'Participant 03'!$E$18</definedName>
    <definedName name="copera3_2018">'Participant 03'!$F$18</definedName>
    <definedName name="copera3_2019">'Participant 03'!$G$18</definedName>
    <definedName name="copera3_2020">'Participant 03'!$H$18</definedName>
    <definedName name="copera3_2021">'Participant 03'!$I$18</definedName>
    <definedName name="copera3_2022">'Participant 03'!$J$18</definedName>
    <definedName name="copera3_2023">'Participant 03'!$K$18</definedName>
    <definedName name="emissions1_2017">'Participant 01'!$E$52</definedName>
    <definedName name="emissions1_2018">'Participant 01'!$F$52</definedName>
    <definedName name="emissions1_2019">'Participant 01'!$G$52</definedName>
    <definedName name="emissions1_2020">'Participant 01'!$H$52</definedName>
    <definedName name="emissions1_2021">'Participant 01'!$I$52</definedName>
    <definedName name="emissions1_2022">'Participant 01'!$J$52</definedName>
    <definedName name="emissions1_2023">'Participant 01'!$K$52</definedName>
    <definedName name="emissions2_2017">'Participant 02'!$E$52</definedName>
    <definedName name="emissions2_2018">'Participant 02'!$F$52</definedName>
    <definedName name="emissions2_2019">'Participant 02'!$G$52</definedName>
    <definedName name="emissions2_2020">'Participant 02'!$H$52</definedName>
    <definedName name="emissions2_2021">'Participant 02'!$I$52</definedName>
    <definedName name="emissions2_2022">'Participant 02'!$J$52</definedName>
    <definedName name="emissions2_2023">'Participant 02'!$K$52</definedName>
    <definedName name="emissions2017">'Sol·licitant '!$E$53</definedName>
    <definedName name="emissions2018">'Sol·licitant '!$F$53</definedName>
    <definedName name="emissions2019">'Sol·licitant '!$G$53</definedName>
    <definedName name="emissions2020">'Sol·licitant '!$H$53</definedName>
    <definedName name="emissions2021">'Sol·licitant '!$I$53</definedName>
    <definedName name="emissions2022">'Sol·licitant '!$J$53</definedName>
    <definedName name="emissions2023">'Sol·licitant '!$K$53</definedName>
    <definedName name="emissions3_2017">'Participant 03'!$E$52</definedName>
    <definedName name="emissions3_2018">'Participant 03'!$F$52</definedName>
    <definedName name="emissions3_2019">'Participant 03'!$G$52</definedName>
    <definedName name="emissions3_2020">'Participant 03'!$H$52</definedName>
    <definedName name="emissions3_2021">'Participant 03'!$I$52</definedName>
    <definedName name="emissions3_2022">'Participant 03'!$J$52</definedName>
    <definedName name="emissions3_2023">'Participant 03'!$K$52</definedName>
    <definedName name="empresa1">#REF!</definedName>
    <definedName name="empresesprivades1_2017">'Participant 01'!$E$34</definedName>
    <definedName name="empresesprivades1_2018">'Participant 01'!$F$34</definedName>
    <definedName name="empresesprivades1_2019">'Participant 01'!$G$34</definedName>
    <definedName name="empresesprivades1_2020">'Participant 01'!$H$34</definedName>
    <definedName name="empresesprivades1_2021">'Participant 01'!$I$34</definedName>
    <definedName name="empresesprivades1_2022">'Participant 01'!$J$34</definedName>
    <definedName name="empresesprivades1_2023">'Participant 01'!$K$34</definedName>
    <definedName name="empresesprivades2_2017">'Participant 02'!$E$34</definedName>
    <definedName name="empresesprivades2_2018">'Participant 02'!$F$34</definedName>
    <definedName name="empresesprivades2_2019">'Participant 02'!$G$34</definedName>
    <definedName name="empresesprivades2_2020">'Participant 02'!$H$34</definedName>
    <definedName name="empresesprivades2_2021">'Participant 02'!$I$34</definedName>
    <definedName name="empresesprivades2_2022">'Participant 02'!$J$34</definedName>
    <definedName name="empresesprivades2_2023">'Participant 02'!$K$34</definedName>
    <definedName name="empresesprivades2017">'Sol·licitant '!$E$35</definedName>
    <definedName name="empresesprivades2018">'Sol·licitant '!$F$35</definedName>
    <definedName name="empresesprivades2019">'Sol·licitant '!$G$35</definedName>
    <definedName name="empresesprivades2020">'Sol·licitant '!$H$35</definedName>
    <definedName name="empresesprivades2021">'Sol·licitant '!$I$35</definedName>
    <definedName name="empresesprivades2022">'Sol·licitant '!$J$35</definedName>
    <definedName name="empresesprivades2023">'Sol·licitant '!$K$35</definedName>
    <definedName name="empresesprivades3_2017">'Participant 03'!$E$34</definedName>
    <definedName name="empresesprivades3_2018">'Participant 03'!$F$34</definedName>
    <definedName name="empresesprivades3_2019">'Participant 03'!$G$34</definedName>
    <definedName name="empresesprivades3_2020">'Participant 03'!$H$34</definedName>
    <definedName name="empresesprivades3_2021">'Participant 03'!$I$34</definedName>
    <definedName name="empresesprivades3_2022">'Participant 03'!$J$34</definedName>
    <definedName name="empresesprivades3_2023">'Participant 03'!$K$34</definedName>
    <definedName name="empresespubliques1_2017">'Participant 01'!$E$35</definedName>
    <definedName name="empresespubliques1_2018">'Participant 01'!$F$35</definedName>
    <definedName name="empresespubliques1_2019">'Participant 01'!$G$35</definedName>
    <definedName name="empresespubliques1_2020">'Participant 01'!$H$35</definedName>
    <definedName name="empresespubliques1_2021">'Participant 01'!$I$35</definedName>
    <definedName name="empresespubliques1_2022">'Participant 01'!$J$35</definedName>
    <definedName name="empresespubliques1_2023">'Participant 01'!$K$35</definedName>
    <definedName name="empresespubliques2_2017">'Participant 02'!$E$35</definedName>
    <definedName name="empresespubliques2_2018">'Participant 02'!$F$35</definedName>
    <definedName name="empresespubliques2_2019">'Participant 02'!$G$35</definedName>
    <definedName name="empresespubliques2_2020">'Participant 02'!$H$35</definedName>
    <definedName name="empresespubliques2_2021">'Participant 02'!$I$35</definedName>
    <definedName name="empresespubliques2_2022">'Participant 02'!$J$35</definedName>
    <definedName name="empresespubliques2_2023">'Participant 02'!$K$35</definedName>
    <definedName name="empresespubliques2017">'Sol·licitant '!$E$36</definedName>
    <definedName name="empresespubliques2018">'Sol·licitant '!$F$36</definedName>
    <definedName name="empresespubliques2019">'Sol·licitant '!$G$36</definedName>
    <definedName name="empresespubliques2020">'Sol·licitant '!$H$36</definedName>
    <definedName name="empresespubliques2021">'Sol·licitant '!$I$36</definedName>
    <definedName name="empresespubliques2022">'Sol·licitant '!$J$36</definedName>
    <definedName name="empresespubliques2023">'Sol·licitant '!$K$36</definedName>
    <definedName name="empresespubliques3_2017">'Participant 03'!$E$35</definedName>
    <definedName name="empresespubliques3_2018">'Participant 03'!$F$35</definedName>
    <definedName name="empresespubliques3_2019">'Participant 03'!$G$35</definedName>
    <definedName name="empresespubliques3_2020">'Participant 03'!$H$35</definedName>
    <definedName name="empresespubliques3_2021">'Participant 03'!$I$35</definedName>
    <definedName name="empresespubliques3_2022">'Participant 03'!$J$35</definedName>
    <definedName name="empresespubliques3_2023">'Participant 03'!$K$35</definedName>
    <definedName name="energia1_2017">'Participant 01'!$E$51</definedName>
    <definedName name="energia1_2018">'Participant 01'!$F$51</definedName>
    <definedName name="energia1_2019">'Participant 01'!$G$51</definedName>
    <definedName name="energia1_2020">'Participant 01'!$H$51</definedName>
    <definedName name="energia1_2021">'Participant 01'!$I$51</definedName>
    <definedName name="energia1_2022">'Participant 01'!$J$51</definedName>
    <definedName name="energia1_2023">'Participant 01'!$K$51</definedName>
    <definedName name="energia2_2017">'Participant 02'!$E$51</definedName>
    <definedName name="energia2_2018">'Participant 02'!$F$51</definedName>
    <definedName name="energia2_2019">'Participant 02'!$G$51</definedName>
    <definedName name="energia2_2020">'Participant 02'!$H$51</definedName>
    <definedName name="energia2_2021">'Participant 02'!$I$51</definedName>
    <definedName name="energia2_2022">'Participant 02'!$J$51</definedName>
    <definedName name="energia2_2023">'Participant 02'!$K$51</definedName>
    <definedName name="energia2017">'Sol·licitant '!$E$52</definedName>
    <definedName name="energia2018">'Sol·licitant '!$F$52</definedName>
    <definedName name="energia2019">'Sol·licitant '!$G$52</definedName>
    <definedName name="energia2020">'Sol·licitant '!$H$52</definedName>
    <definedName name="energia2021">'Sol·licitant '!$I$52</definedName>
    <definedName name="energia2022">'Sol·licitant '!$J$52</definedName>
    <definedName name="energia2023">'Sol·licitant '!$K$52</definedName>
    <definedName name="energia3_2017">'Participant 03'!$E$51</definedName>
    <definedName name="energia3_2018">'Participant 03'!$F$51</definedName>
    <definedName name="energia3_2019">'Participant 03'!$G$51</definedName>
    <definedName name="energia3_2020">'Participant 03'!$H$51</definedName>
    <definedName name="energia3_2021">'Participant 03'!$I$51</definedName>
    <definedName name="energia3_2022">'Participant 03'!$J$51</definedName>
    <definedName name="energia3_2023">'Participant 03'!$K$51</definedName>
    <definedName name="exportacions1_2017">'Participant 01'!$E$47</definedName>
    <definedName name="exportacions1_2018">'Participant 01'!$F$47</definedName>
    <definedName name="exportacions1_2019">'Participant 01'!$G$47</definedName>
    <definedName name="exportacions1_2020">'Participant 01'!$H$47</definedName>
    <definedName name="exportacions1_2021">'Participant 01'!$I$47</definedName>
    <definedName name="exportacions1_2022">'Participant 01'!$J$47</definedName>
    <definedName name="exportacions1_2023">'Participant 01'!$K$47</definedName>
    <definedName name="exportacions2_2017">'Participant 02'!$E$47</definedName>
    <definedName name="exportacions2_2018">'Participant 02'!$F$47</definedName>
    <definedName name="exportacions2_2019">'Participant 02'!$G$47</definedName>
    <definedName name="exportacions2_2020">'Participant 02'!$H$47</definedName>
    <definedName name="exportacions2_2021">'Participant 02'!$I$47</definedName>
    <definedName name="exportacions2_2022">'Participant 02'!$J$47</definedName>
    <definedName name="exportacions2_2023">'Participant 02'!$K$47</definedName>
    <definedName name="exportacions2017">'Sol·licitant '!$E$48</definedName>
    <definedName name="exportacions2018">'Sol·licitant '!$F$48</definedName>
    <definedName name="exportacions2019">'Sol·licitant '!$G$48</definedName>
    <definedName name="exportacions2020">'Sol·licitant '!$H$48</definedName>
    <definedName name="exportacions2021">'Sol·licitant '!$I$48</definedName>
    <definedName name="exportacions2022">'Sol·licitant '!$J$48</definedName>
    <definedName name="exportacions2023">'Sol·licitant '!$K$48</definedName>
    <definedName name="exportacions3_2017">'Participant 03'!$E$47</definedName>
    <definedName name="exportacions3_2018">'Participant 03'!$F$47</definedName>
    <definedName name="exportacions3_2019">'Participant 03'!$G$47</definedName>
    <definedName name="exportacions3_2020">'Participant 03'!$H$47</definedName>
    <definedName name="exportacions3_2021">'Participant 03'!$I$47</definedName>
    <definedName name="exportacions3_2022">'Participant 03'!$J$47</definedName>
    <definedName name="exportacions3_2023">'Participant 03'!$K$47</definedName>
    <definedName name="formacio1_2017">'Participant 01'!$E$45</definedName>
    <definedName name="formacio1_2018">'Participant 01'!$F$45</definedName>
    <definedName name="formacio1_2019">'Participant 01'!$G$45</definedName>
    <definedName name="formacio1_2020">'Participant 01'!$H$45</definedName>
    <definedName name="formacio1_2021">'Participant 01'!$I$45</definedName>
    <definedName name="formacio1_2022">'Participant 01'!$J$45</definedName>
    <definedName name="formacio1_2023">'Participant 01'!$K$45</definedName>
    <definedName name="formacio2_2017">'Participant 02'!$E$45</definedName>
    <definedName name="formacio2_2018">'Participant 02'!$F$45</definedName>
    <definedName name="formacio2_2019">'Participant 02'!$G$45</definedName>
    <definedName name="formacio2_2020">'Participant 02'!$H$45</definedName>
    <definedName name="formacio2_2021">'Participant 02'!$I$45</definedName>
    <definedName name="formacio2_2022">'Participant 02'!$J$45</definedName>
    <definedName name="formacio2_2023">'Participant 02'!$K$45</definedName>
    <definedName name="formacio2017">'Sol·licitant '!$E$46</definedName>
    <definedName name="formacio2018">'Sol·licitant '!$F$46</definedName>
    <definedName name="formacio2019">'Sol·licitant '!$G$46</definedName>
    <definedName name="formacio2020">'Sol·licitant '!$H$46</definedName>
    <definedName name="formacio2021">'Sol·licitant '!$I$46</definedName>
    <definedName name="formacio2022">'Sol·licitant '!$J$46</definedName>
    <definedName name="formacio2023">'Sol·licitant '!$K$46</definedName>
    <definedName name="formacio3_2017">'Participant 03'!$E$45</definedName>
    <definedName name="formacio3_2018">'Participant 03'!$F$45</definedName>
    <definedName name="formacio3_2019">'Participant 03'!$G$45</definedName>
    <definedName name="formacio3_2020">'Participant 03'!$H$45</definedName>
    <definedName name="formacio3_2021">'Participant 03'!$I$45</definedName>
    <definedName name="formacio3_2022">'Participant 03'!$J$45</definedName>
    <definedName name="formacio3_2023">'Participant 03'!$K$45</definedName>
    <definedName name="infraestructures1_2017">'Participant 01'!$E$39</definedName>
    <definedName name="infraestructures1_2018">'Participant 01'!$F$39</definedName>
    <definedName name="infraestructures1_2019">'Participant 01'!$G$39</definedName>
    <definedName name="infraestructures1_2020">'Participant 01'!$H$39</definedName>
    <definedName name="infraestructures1_2021">'Participant 01'!$I$39</definedName>
    <definedName name="infraestructures1_2022">'Participant 01'!$J$39</definedName>
    <definedName name="infraestructures1_2023">'Participant 01'!$K$39</definedName>
    <definedName name="infraestructures2_2017">'Participant 02'!$E$39</definedName>
    <definedName name="infraestructures2_2018">'Participant 02'!$F$39</definedName>
    <definedName name="infraestructures2_2019">'Participant 02'!$G$39</definedName>
    <definedName name="infraestructures2_2020">'Participant 02'!$H$39</definedName>
    <definedName name="infraestructures2_2021">'Participant 02'!$I$39</definedName>
    <definedName name="infraestructures2_2022">'Participant 02'!$J$39</definedName>
    <definedName name="infraestructures2_2023">'Participant 02'!$K$39</definedName>
    <definedName name="infraestructures2017">'Sol·licitant '!$E$40</definedName>
    <definedName name="infraestructures2018">'Sol·licitant '!$F$40</definedName>
    <definedName name="infraestructures2019">'Sol·licitant '!$G$40</definedName>
    <definedName name="infraestructures2020">'Sol·licitant '!$H$40</definedName>
    <definedName name="infraestructures2021">'Sol·licitant '!$I$40</definedName>
    <definedName name="infraestructures2022">'Sol·licitant '!$J$40</definedName>
    <definedName name="infraestructures2023">'Sol·licitant '!$K$40</definedName>
    <definedName name="infraestructures3_2017">'Participant 03'!$E$39</definedName>
    <definedName name="infraestructures3_2018">'Participant 03'!$F$39</definedName>
    <definedName name="infraestructures3_2019">'Participant 03'!$G$39</definedName>
    <definedName name="infraestructures3_2020">'Participant 03'!$H$39</definedName>
    <definedName name="infraestructures3_2021">'Participant 03'!$I$39</definedName>
    <definedName name="infraestructures3_2022">'Participant 03'!$J$39</definedName>
    <definedName name="infraestructures3_2023">'Participant 03'!$K$39</definedName>
    <definedName name="ingressos1_2017">'Participant 01'!$E$46</definedName>
    <definedName name="ingressos1_2018">'Participant 01'!$F$46</definedName>
    <definedName name="ingressos1_2019">'Participant 01'!$G$46</definedName>
    <definedName name="ingressos1_2020">'Participant 01'!$H$46</definedName>
    <definedName name="ingressos1_2021">'Participant 01'!$I$46</definedName>
    <definedName name="ingressos1_2022">'Participant 01'!$J$46</definedName>
    <definedName name="ingressos1_2023">'Participant 01'!$K$46</definedName>
    <definedName name="ingressos2_2017">'Participant 02'!$E$46</definedName>
    <definedName name="ingressos2_2018">'Participant 02'!$F$46</definedName>
    <definedName name="ingressos2_2019">'Participant 02'!$G$46</definedName>
    <definedName name="ingressos2_2020">'Participant 02'!$H$46</definedName>
    <definedName name="ingressos2_2021">'Participant 02'!$I$46</definedName>
    <definedName name="ingressos2_2022">'Participant 02'!$J$46</definedName>
    <definedName name="ingressos2_2023">'Participant 02'!$K$46</definedName>
    <definedName name="ingressos2017">'Sol·licitant '!$E$47</definedName>
    <definedName name="ingressos2018">'Sol·licitant '!$F$47</definedName>
    <definedName name="ingressos2019">'Sol·licitant '!$G$47</definedName>
    <definedName name="ingressos2020">'Sol·licitant '!$H$47</definedName>
    <definedName name="ingressos2021">'Sol·licitant '!$I$47</definedName>
    <definedName name="ingressos2022">'Sol·licitant '!$J$47</definedName>
    <definedName name="ingressos2023">'Sol·licitant '!$K$47</definedName>
    <definedName name="ingressos3_2017">'Participant 03'!$E$46</definedName>
    <definedName name="ingressos3_2018">'Participant 03'!$F$46</definedName>
    <definedName name="ingressos3_2019">'Participant 03'!$G$46</definedName>
    <definedName name="ingressos3_2020">'Participant 03'!$H$46</definedName>
    <definedName name="ingressos3_2021">'Participant 03'!$I$46</definedName>
    <definedName name="ingressos3_2022">'Participant 03'!$J$46</definedName>
    <definedName name="ingressos3_2023">'Participant 03'!$K$46</definedName>
    <definedName name="innoven1_2017">'Participant 01'!$E$43</definedName>
    <definedName name="innoven1_2018">'Participant 01'!$F$43</definedName>
    <definedName name="innoven1_2019">'Participant 01'!$G$43</definedName>
    <definedName name="innoven1_2020">'Participant 01'!$H$43</definedName>
    <definedName name="innoven1_2021">'Participant 01'!$I$43</definedName>
    <definedName name="innoven1_2022">'Participant 01'!$J$43</definedName>
    <definedName name="innoven1_2023">'Participant 01'!$K$43</definedName>
    <definedName name="innoven2_2017">'Participant 02'!$E$43</definedName>
    <definedName name="innoven2_2018">'Participant 02'!$F$43</definedName>
    <definedName name="innoven2_2019">'Participant 02'!$G$43</definedName>
    <definedName name="innoven2_2020">'Participant 02'!$H$43</definedName>
    <definedName name="innoven2_2021">'Participant 02'!$I$43</definedName>
    <definedName name="innoven2_2022">'Participant 02'!$J$43</definedName>
    <definedName name="innoven2_2023">'Participant 02'!$K$43</definedName>
    <definedName name="innoven2017">'Sol·licitant '!$E$44</definedName>
    <definedName name="innoven2018">'Sol·licitant '!$F$44</definedName>
    <definedName name="innoven2019">'Sol·licitant '!$G$44</definedName>
    <definedName name="innoven2020">'Sol·licitant '!$H$44</definedName>
    <definedName name="innoven2021">'Sol·licitant '!$I$44</definedName>
    <definedName name="innoven2022">'Sol·licitant '!$J$44</definedName>
    <definedName name="innoven2023">'Sol·licitant '!$K$44</definedName>
    <definedName name="innoven3_2017">'Participant 03'!$E$43</definedName>
    <definedName name="innoven3_2018">'Participant 03'!$F$43</definedName>
    <definedName name="innoven3_2019">'Participant 03'!$G$43</definedName>
    <definedName name="innoven3_2020">'Participant 03'!$H$43</definedName>
    <definedName name="innoven3_2021">'Participant 03'!$I$43</definedName>
    <definedName name="innoven3_2022">'Participant 03'!$J$43</definedName>
    <definedName name="innoven3_2023">'Participant 03'!$K$43</definedName>
    <definedName name="investigadorsdones1_2017">'Participant 01'!$E$22</definedName>
    <definedName name="investigadorsdones1_2018">'Participant 01'!$F$22</definedName>
    <definedName name="investigadorsdones1_2019">'Participant 01'!$G$22</definedName>
    <definedName name="investigadorsdones1_2020">'Participant 01'!$H$22</definedName>
    <definedName name="investigadorsdones1_2021">'Participant 01'!$I$22</definedName>
    <definedName name="investigadorsdones1_2022">'Participant 01'!$J$22</definedName>
    <definedName name="investigadorsdones1_2023">'Participant 01'!$K$22</definedName>
    <definedName name="investigadorsdones2_2017">'Participant 02'!$E$22</definedName>
    <definedName name="investigadorsdones2_2018">'Participant 02'!$F$22</definedName>
    <definedName name="investigadorsdones2_2019">'Participant 02'!$G$22</definedName>
    <definedName name="investigadorsdones2_2020">'Participant 02'!$H$22</definedName>
    <definedName name="investigadorsdones2_2021">'Participant 02'!$I$22</definedName>
    <definedName name="investigadorsdones2_2022">'Participant 02'!$J$22</definedName>
    <definedName name="investigadorsdones2_2023">'Participant 02'!$K$22</definedName>
    <definedName name="investigadorsdones2017">'Sol·licitant '!$E$23</definedName>
    <definedName name="investigadorsdones2018">'Sol·licitant '!$F$23</definedName>
    <definedName name="investigadorsdones2019">'Sol·licitant '!$G$23</definedName>
    <definedName name="investigadorsdones2020">'Sol·licitant '!$H$23</definedName>
    <definedName name="investigadorsdones2021">'Sol·licitant '!$I$23</definedName>
    <definedName name="investigadorsdones2022">'Sol·licitant '!$J$23</definedName>
    <definedName name="investigadorsdones2023">'Sol·licitant '!$K$23</definedName>
    <definedName name="investigadorsdones3_2017">'Participant 03'!$E$22</definedName>
    <definedName name="investigadorsdones3_2018">'Participant 03'!$F$22</definedName>
    <definedName name="investigadorsdones3_2019">'Participant 03'!$G$22</definedName>
    <definedName name="investigadorsdones3_2020">'Participant 03'!$H$22</definedName>
    <definedName name="investigadorsdones3_2021">'Participant 03'!$I$22</definedName>
    <definedName name="investigadorsdones3_2022">'Participant 03'!$J$22</definedName>
    <definedName name="investigadorsdones3_2023">'Participant 03'!$K$22</definedName>
    <definedName name="investigadorsdonesprojecte1_2017">'Participant 01'!$E$33</definedName>
    <definedName name="investigadorsdonesprojecte1_2018">'Participant 01'!$F$33</definedName>
    <definedName name="investigadorsdonesprojecte1_2019">'Participant 01'!$G$33</definedName>
    <definedName name="investigadorsdonesprojecte1_2020">'Participant 01'!$H$33</definedName>
    <definedName name="investigadorsdonesprojecte1_2021">'Participant 01'!$I$33</definedName>
    <definedName name="investigadorsdonesprojecte1_2022">'Participant 01'!$J$33</definedName>
    <definedName name="investigadorsdonesprojecte1_2023">'Participant 01'!$K$33</definedName>
    <definedName name="investigadorsdonesprojecte2_2017">'Participant 02'!$E$33</definedName>
    <definedName name="investigadorsdonesprojecte2_2018">'Participant 02'!$F$33</definedName>
    <definedName name="investigadorsdonesprojecte2_2019">'Participant 02'!$G$33</definedName>
    <definedName name="investigadorsdonesprojecte2_2020">'Participant 02'!$H$33</definedName>
    <definedName name="investigadorsdonesprojecte2_2021">'Participant 02'!$I$33</definedName>
    <definedName name="investigadorsdonesprojecte2_2022">'Participant 02'!$J$33</definedName>
    <definedName name="investigadorsdonesprojecte2_2023">'Participant 02'!$K$33</definedName>
    <definedName name="investigadorsdonesprojecte2017">'Sol·licitant '!$E$34</definedName>
    <definedName name="investigadorsdonesprojecte2018">'Sol·licitant '!$F$34</definedName>
    <definedName name="investigadorsdonesprojecte2019">'Sol·licitant '!$G$34</definedName>
    <definedName name="investigadorsdonesprojecte2020">'Sol·licitant '!$H$34</definedName>
    <definedName name="investigadorsdonesprojecte2021">'Sol·licitant '!$I$34</definedName>
    <definedName name="investigadorsdonesprojecte2022">'Sol·licitant '!$J$34</definedName>
    <definedName name="investigadorsdonesprojecte2023">'Sol·licitant '!$K$34</definedName>
    <definedName name="investigadorsdonesprojecte3_2017">'Participant 03'!$E$33</definedName>
    <definedName name="investigadorsdonesprojecte3_2018">'Participant 03'!$F$33</definedName>
    <definedName name="investigadorsdonesprojecte3_2019">'Participant 03'!$G$33</definedName>
    <definedName name="investigadorsdonesprojecte3_2020">'Participant 03'!$H$33</definedName>
    <definedName name="investigadorsdonesprojecte3_2021">'Participant 03'!$I$33</definedName>
    <definedName name="investigadorsdonesprojecte3_2022">'Participant 03'!$J$33</definedName>
    <definedName name="investigadorsdonesprojecte3_2023">'Participant 03'!$K$33</definedName>
    <definedName name="investigadorshomes1_2017">'Participant 01'!$E$20</definedName>
    <definedName name="investigadorshomes1_2018">'Participant 01'!$F$20</definedName>
    <definedName name="investigadorshomes1_2019">'Participant 01'!$G$20</definedName>
    <definedName name="investigadorshomes1_2020">'Participant 01'!$H$20</definedName>
    <definedName name="investigadorshomes1_2021">'Participant 01'!$I$20</definedName>
    <definedName name="investigadorshomes1_2022">'Participant 01'!$J$20</definedName>
    <definedName name="investigadorshomes1_2023">'Participant 01'!$K$20</definedName>
    <definedName name="investigadorshomes2_2017">'Participant 02'!$E$20</definedName>
    <definedName name="investigadorshomes2_2018">'Participant 02'!$F$20</definedName>
    <definedName name="investigadorshomes2_2019">'Participant 02'!$G$20</definedName>
    <definedName name="investigadorshomes2_2020">'Participant 02'!$H$20</definedName>
    <definedName name="investigadorshomes2_2021">'Participant 02'!$I$20</definedName>
    <definedName name="investigadorshomes2_2022">'Participant 02'!$J$20</definedName>
    <definedName name="investigadorshomes2_2023">'Participant 02'!$K$20</definedName>
    <definedName name="investigadorshomes2017">'Sol·licitant '!$E$21</definedName>
    <definedName name="investigadorshomes2018">'Sol·licitant '!$F$21</definedName>
    <definedName name="investigadorshomes2019">'Sol·licitant '!$G$21</definedName>
    <definedName name="investigadorshomes2020">'Sol·licitant '!$H$21</definedName>
    <definedName name="investigadorshomes2021">'Sol·licitant '!$I$21</definedName>
    <definedName name="investigadorshomes2022">'Sol·licitant '!$J$21</definedName>
    <definedName name="investigadorshomes2023">'Sol·licitant '!$K$21</definedName>
    <definedName name="investigadorshomes3_2017">'Participant 03'!$E$20</definedName>
    <definedName name="investigadorshomes3_2018">'Participant 03'!$F$20</definedName>
    <definedName name="investigadorshomes3_2019">'Participant 03'!$G$20</definedName>
    <definedName name="investigadorshomes3_2020">'Participant 03'!$H$20</definedName>
    <definedName name="investigadorshomes3_2021">'Participant 03'!$I$20</definedName>
    <definedName name="investigadorshomes3_2022">'Participant 03'!$J$20</definedName>
    <definedName name="investigadorshomes3_2023">'Participant 03'!$K$20</definedName>
    <definedName name="investigadorshomesprojecte1_2017">'Participant 01'!$E$32</definedName>
    <definedName name="investigadorshomesprojecte1_2018">'Participant 01'!$F$32</definedName>
    <definedName name="investigadorshomesprojecte1_2019">'Participant 01'!$G$32</definedName>
    <definedName name="investigadorshomesprojecte1_2020">'Participant 01'!$H$32</definedName>
    <definedName name="investigadorshomesprojecte1_2021">'Participant 01'!$I$32</definedName>
    <definedName name="investigadorshomesprojecte1_2022">'Participant 01'!$J$32</definedName>
    <definedName name="investigadorshomesprojecte1_2023">'Participant 01'!$K$32</definedName>
    <definedName name="investigadorshomesprojecte2_2017">'Participant 02'!$E$32</definedName>
    <definedName name="investigadorshomesprojecte2_2018">'Participant 02'!$F$32</definedName>
    <definedName name="investigadorshomesprojecte2_2019">'Participant 02'!$G$32</definedName>
    <definedName name="investigadorshomesprojecte2_2020">'Participant 02'!$H$32</definedName>
    <definedName name="investigadorshomesprojecte2_2021">'Participant 02'!$I$32</definedName>
    <definedName name="investigadorshomesprojecte2_2022">'Participant 02'!$J$32</definedName>
    <definedName name="investigadorshomesprojecte2_2023">'Participant 02'!$K$32</definedName>
    <definedName name="investigadorshomesprojecte2017">'Sol·licitant '!$E$33</definedName>
    <definedName name="investigadorshomesprojecte2018">'Sol·licitant '!$F$33</definedName>
    <definedName name="investigadorshomesprojecte2019">'Sol·licitant '!$G$33</definedName>
    <definedName name="investigadorshomesprojecte2020">'Sol·licitant '!$H$33</definedName>
    <definedName name="investigadorshomesprojecte2021">'Sol·licitant '!$I$33</definedName>
    <definedName name="investigadorshomesprojecte2022">'Sol·licitant '!$J$33</definedName>
    <definedName name="investigadorshomesprojecte2023">'Sol·licitant '!$K$33</definedName>
    <definedName name="investigadorshomesprojecte3_2017">'Participant 03'!$E$32</definedName>
    <definedName name="investigadorshomesprojecte3_2018">'Participant 03'!$F$32</definedName>
    <definedName name="investigadorshomesprojecte3_2019">'Participant 03'!$G$32</definedName>
    <definedName name="investigadorshomesprojecte3_2020">'Participant 03'!$H$32</definedName>
    <definedName name="investigadorshomesprojecte3_2021">'Participant 03'!$I$32</definedName>
    <definedName name="investigadorshomesprojecte3_2022">'Participant 03'!$J$32</definedName>
    <definedName name="investigadorshomesprojecte3_2023">'Participant 03'!$K$32</definedName>
    <definedName name="investigadorstotal1_2017">'Participant 01'!$E$24</definedName>
    <definedName name="investigadorstotal1_2018">'Participant 01'!$F$24</definedName>
    <definedName name="investigadorstotal1_2019">'Participant 01'!$G$24</definedName>
    <definedName name="investigadorstotal1_2020">'Participant 01'!$H$24</definedName>
    <definedName name="investigadorstotal1_2021">'Participant 01'!$I$24</definedName>
    <definedName name="investigadorstotal1_2022">'Participant 01'!$J$24</definedName>
    <definedName name="investigadorstotal1_2023">'Participant 01'!$K$24</definedName>
    <definedName name="investigadorstotal2_2017">'Participant 02'!$E$24</definedName>
    <definedName name="investigadorstotal2_2018">'Participant 02'!$F$24</definedName>
    <definedName name="investigadorstotal2_2019">'Participant 02'!$G$24</definedName>
    <definedName name="investigadorstotal2_2020">'Participant 02'!$H$24</definedName>
    <definedName name="investigadorstotal2_2021">'Participant 02'!$I$24</definedName>
    <definedName name="investigadorstotal2_2022">'Participant 02'!$J$24</definedName>
    <definedName name="investigadorstotal2_2023">'Participant 02'!$K$24</definedName>
    <definedName name="investigadorstotal2017">'Sol·licitant '!$E$25</definedName>
    <definedName name="investigadorstotal2018">'Sol·licitant '!$F$25</definedName>
    <definedName name="investigadorstotal2019">'Sol·licitant '!$G$25</definedName>
    <definedName name="investigadorstotal2020">'Sol·licitant '!$H$25</definedName>
    <definedName name="investigadorstotal2021">'Sol·licitant '!$I$25</definedName>
    <definedName name="investigadorstotal2022">'Sol·licitant '!$J$25</definedName>
    <definedName name="investigadorstotal2023">'Sol·licitant '!$K$25</definedName>
    <definedName name="investigadorstotal3_2017">'Participant 03'!$E$24</definedName>
    <definedName name="investigadorstotal3_2018">'Participant 03'!$F$24</definedName>
    <definedName name="investigadorstotal3_2019">'Participant 03'!$G$24</definedName>
    <definedName name="investigadorstotal3_2020">'Participant 03'!$H$24</definedName>
    <definedName name="investigadorstotal3_2021">'Participant 03'!$I$24</definedName>
    <definedName name="investigadorstotal3_2022">'Participant 03'!$J$24</definedName>
    <definedName name="investigadorstotal3_2023">'Participant 03'!$K$24</definedName>
    <definedName name="investigadorstotalprojecte1_2017">'Participant 01'!$E$31</definedName>
    <definedName name="investigadorstotalprojecte1_2018">'Participant 01'!$F$31</definedName>
    <definedName name="investigadorstotalprojecte1_2019">'Participant 01'!$G$31</definedName>
    <definedName name="investigadorstotalprojecte1_2020">'Participant 01'!$H$31</definedName>
    <definedName name="investigadorstotalprojecte1_2021">'Participant 01'!$I$31</definedName>
    <definedName name="investigadorstotalprojecte1_2022">'Participant 01'!$J$31</definedName>
    <definedName name="investigadorstotalprojecte1_2023">'Participant 01'!$K$31</definedName>
    <definedName name="investigadorstotalprojecte2_2017">'Participant 02'!$E$31</definedName>
    <definedName name="investigadorstotalprojecte2_2018">'Participant 02'!$F$31</definedName>
    <definedName name="investigadorstotalprojecte2_2019">'Participant 02'!$G$31</definedName>
    <definedName name="investigadorstotalprojecte2_2020">'Participant 02'!$H$31</definedName>
    <definedName name="investigadorstotalprojecte2_2021">'Participant 02'!$I$31</definedName>
    <definedName name="investigadorstotalprojecte2_2022">'Participant 02'!$J$31</definedName>
    <definedName name="investigadorstotalprojecte2_2023">'Participant 02'!$K$31</definedName>
    <definedName name="investigadorstotalprojecte2017">'Sol·licitant '!$E$32</definedName>
    <definedName name="investigadorstotalprojecte2018">'Sol·licitant '!$F$32</definedName>
    <definedName name="investigadorstotalprojecte2019">'Sol·licitant '!$G$32</definedName>
    <definedName name="investigadorstotalprojecte2020">'Sol·licitant '!$H$32</definedName>
    <definedName name="investigadorstotalprojecte2021">'Sol·licitant '!$I$32</definedName>
    <definedName name="investigadorstotalprojecte2022">'Sol·licitant '!$J$32</definedName>
    <definedName name="investigadorstotalprojecte2023">'Sol·licitant '!$K$32</definedName>
    <definedName name="investigadorstotalprojecte3_2017">'Participant 03'!$E$31</definedName>
    <definedName name="investigadorstotalprojecte3_2018">'Participant 03'!$F$31</definedName>
    <definedName name="investigadorstotalprojecte3_2019">'Participant 03'!$G$31</definedName>
    <definedName name="investigadorstotalprojecte3_2020">'Participant 03'!$H$31</definedName>
    <definedName name="investigadorstotalprojecte3_2021">'Participant 03'!$I$31</definedName>
    <definedName name="investigadorstotalprojecte3_2022">'Participant 03'!$J$31</definedName>
    <definedName name="investigadorstotalprojecte3_2023">'Participant 03'!$K$31</definedName>
    <definedName name="iprivada1_2017">'Participant 01'!$E$30</definedName>
    <definedName name="iprivada1_2018">'Participant 01'!$F$30</definedName>
    <definedName name="iprivada1_2019">'Participant 01'!$G$30</definedName>
    <definedName name="iprivada1_2020">'Participant 01'!$H$30</definedName>
    <definedName name="iprivada1_2021">'Participant 01'!$I$30</definedName>
    <definedName name="iprivada1_2022">'Participant 01'!$J$30</definedName>
    <definedName name="iprivada1_2023">'Participant 01'!$K$30</definedName>
    <definedName name="iprivada2_2017">'Participant 02'!$E$30</definedName>
    <definedName name="iprivada2_2018">'Participant 02'!$F$30</definedName>
    <definedName name="iprivada2_2019">'Participant 02'!$G$30</definedName>
    <definedName name="iprivada2_2020">'Participant 02'!$H$30</definedName>
    <definedName name="iprivada2_2021">'Participant 02'!$I$30</definedName>
    <definedName name="iprivada2_2022">'Participant 02'!$J$30</definedName>
    <definedName name="iprivada2_2023">'Participant 02'!$K$30</definedName>
    <definedName name="iprivada2017">'Sol·licitant '!$E$31</definedName>
    <definedName name="iprivada2018">'Sol·licitant '!$F$31</definedName>
    <definedName name="iprivada2019">'Sol·licitant '!$G$31</definedName>
    <definedName name="iprivada2020">'Sol·licitant '!$H$31</definedName>
    <definedName name="iprivada2021">'Sol·licitant '!$I$31</definedName>
    <definedName name="iprivada2022">'Sol·licitant '!$J$31</definedName>
    <definedName name="iprivada2023">'Sol·licitant '!$K$31</definedName>
    <definedName name="iprivada3_2017">'Participant 03'!$E$30</definedName>
    <definedName name="iprivada3_2018">'Participant 03'!$F$30</definedName>
    <definedName name="iprivada3_2019">'Participant 03'!$G$30</definedName>
    <definedName name="iprivada3_2020">'Participant 03'!$H$30</definedName>
    <definedName name="iprivada3_2021">'Participant 03'!$I$30</definedName>
    <definedName name="iprivada3_2022">'Participant 03'!$J$30</definedName>
    <definedName name="iprivada3_2023">'Participant 03'!$K$30</definedName>
    <definedName name="iprivadaipublica1_2017">'Participant 01'!$E$16</definedName>
    <definedName name="iprivadaipublica1_2018">'Participant 01'!$F$16</definedName>
    <definedName name="iprivadaipublica1_2019">'Participant 01'!$G$16</definedName>
    <definedName name="iprivadaipublica1_2020">'Participant 01'!$H$16</definedName>
    <definedName name="iprivadaipublica1_2021">'Participant 01'!$I$16</definedName>
    <definedName name="iprivadaipublica1_2022">'Participant 01'!$J$16</definedName>
    <definedName name="iprivadaipublica1_2023">'Participant 01'!$K$16</definedName>
    <definedName name="iprivadaipublica2_2017">'Participant 02'!$E$16</definedName>
    <definedName name="iprivadaipublica2_2018">'Participant 02'!$F$16</definedName>
    <definedName name="iprivadaipublica2_2019">'Participant 02'!$G$16</definedName>
    <definedName name="iprivadaipublica2_2020">'Participant 02'!$H$16</definedName>
    <definedName name="iprivadaipublica2_2021">'Participant 02'!$I$16</definedName>
    <definedName name="iprivadaipublica2_2022">'Participant 02'!$J$16</definedName>
    <definedName name="iprivadaipublica2_2023">'Participant 02'!$K$16</definedName>
    <definedName name="iprivadaipublica2017">'Sol·licitant '!$E$17</definedName>
    <definedName name="iprivadaipublica2018">'Sol·licitant '!$F$17</definedName>
    <definedName name="iprivadaipublica2019">'Sol·licitant '!$G$17</definedName>
    <definedName name="iprivadaipublica2020">'Sol·licitant '!$H$17</definedName>
    <definedName name="iprivadaipublica2021">'Sol·licitant '!$I$17</definedName>
    <definedName name="iprivadaipublica2022">'Sol·licitant '!$J$17</definedName>
    <definedName name="iprivadaipublica2023">'Sol·licitant '!$K$17</definedName>
    <definedName name="iprivadaipublica3_2017">'Participant 03'!$E$16</definedName>
    <definedName name="iprivadaipublica3_2018">'Participant 03'!$F$16</definedName>
    <definedName name="iprivadaipublica3_2019">'Participant 03'!$G$16</definedName>
    <definedName name="iprivadaipublica3_2020">'Participant 03'!$H$16</definedName>
    <definedName name="iprivadaipublica3_2021">'Participant 03'!$I$16</definedName>
    <definedName name="iprivadaipublica3_2022">'Participant 03'!$J$16</definedName>
    <definedName name="iprivadaipublica3_2023">'Participant 03'!$K$16</definedName>
    <definedName name="ipublica1_2017">'Participant 01'!$E$29</definedName>
    <definedName name="ipublica1_2018">'Participant 01'!$F$29</definedName>
    <definedName name="ipublica1_2019">'Participant 01'!$G$29</definedName>
    <definedName name="ipublica1_2020">'Participant 01'!$H$29</definedName>
    <definedName name="ipublica1_2021">'Participant 01'!$I$29</definedName>
    <definedName name="ipublica1_2022">'Participant 01'!$J$29</definedName>
    <definedName name="ipublica1_2023">'Participant 01'!$K$29</definedName>
    <definedName name="ipublica2_2017">'Participant 02'!$E$29</definedName>
    <definedName name="ipublica2_2018">'Participant 02'!$F$29</definedName>
    <definedName name="ipublica2_2019">'Participant 02'!$G$29</definedName>
    <definedName name="ipublica2_2020">'Participant 02'!$H$29</definedName>
    <definedName name="ipublica2_2021">'Participant 02'!$I$29</definedName>
    <definedName name="ipublica2_2022">'Participant 02'!$J$29</definedName>
    <definedName name="ipublica2_2023">'Participant 02'!$K$29</definedName>
    <definedName name="ipublica2017">'Sol·licitant '!$E$30</definedName>
    <definedName name="ipublica2018">'Sol·licitant '!$F$30</definedName>
    <definedName name="ipublica2019">'Sol·licitant '!$G$30</definedName>
    <definedName name="ipublica2020">'Sol·licitant '!$H$30</definedName>
    <definedName name="ipublica2021">'Sol·licitant '!$I$30</definedName>
    <definedName name="ipublica2022">'Sol·licitant '!$J$30</definedName>
    <definedName name="ipublica2023">'Sol·licitant '!$K$30</definedName>
    <definedName name="ipublica3_2017">'Participant 03'!$E$29</definedName>
    <definedName name="ipublica3_2018">'Participant 03'!$F$29</definedName>
    <definedName name="ipublica3_2019">'Participant 03'!$G$29</definedName>
    <definedName name="ipublica3_2020">'Participant 03'!$H$29</definedName>
    <definedName name="ipublica3_2021">'Participant 03'!$I$29</definedName>
    <definedName name="ipublica3_2022">'Participant 03'!$J$29</definedName>
    <definedName name="ipublica3_2023">'Participant 03'!$K$29</definedName>
    <definedName name="justificacio">'Sol·licitant '!$C$9</definedName>
    <definedName name="justificaciodesp">#REF!</definedName>
    <definedName name="llocsdetreball1_2017">'Participant 01'!$E$44</definedName>
    <definedName name="llocsdetreball1_2018">'Participant 01'!$F$44</definedName>
    <definedName name="llocsdetreball1_2019">'Participant 01'!$G$44</definedName>
    <definedName name="llocsdetreball1_2020">'Participant 01'!$H$44</definedName>
    <definedName name="llocsdetreball1_2021">'Participant 01'!$I$44</definedName>
    <definedName name="llocsdetreball1_2022">'Participant 01'!$J$44</definedName>
    <definedName name="llocsdetreball1_2023">'Participant 01'!$K$44</definedName>
    <definedName name="llocsdetreball2_2017">'Participant 02'!$E$44</definedName>
    <definedName name="llocsdetreball2_2018">'Participant 02'!$F$44</definedName>
    <definedName name="llocsdetreball2_2019">'Participant 02'!$G$44</definedName>
    <definedName name="llocsdetreball2_2020">'Participant 02'!$H$44</definedName>
    <definedName name="llocsdetreball2_2021">'Participant 02'!$I$44</definedName>
    <definedName name="llocsdetreball2_2022">'Participant 02'!$J$44</definedName>
    <definedName name="llocsdetreball2_2023">'Participant 02'!$K$44</definedName>
    <definedName name="llocsdetreball2017">'Sol·licitant '!$E$45</definedName>
    <definedName name="llocsdetreball2018">'Sol·licitant '!$F$45</definedName>
    <definedName name="llocsdetreball2019">'Sol·licitant '!$G$45</definedName>
    <definedName name="llocsdetreball2020">'Sol·licitant '!$H$45</definedName>
    <definedName name="llocsdetreball2021">'Sol·licitant '!$I$45</definedName>
    <definedName name="llocsdetreball2022">'Sol·licitant '!$J$45</definedName>
    <definedName name="llocsdetreball2023">'Sol·licitant '!$K$45</definedName>
    <definedName name="llocsdetreball3_2017">'Participant 03'!$E$44</definedName>
    <definedName name="llocsdetreball3_2018">'Participant 03'!$F$44</definedName>
    <definedName name="llocsdetreball3_2019">'Participant 03'!$G$44</definedName>
    <definedName name="llocsdetreball3_2020">'Participant 03'!$H$44</definedName>
    <definedName name="llocsdetreball3_2021">'Participant 03'!$I$44</definedName>
    <definedName name="llocsdetreball3_2022">'Participant 03'!$J$44</definedName>
    <definedName name="llocsdetreball3_2023">'Participant 03'!$K$44</definedName>
    <definedName name="marques1_2017">'Participant 01'!$E$42</definedName>
    <definedName name="marques1_2018">'Participant 01'!$F$42</definedName>
    <definedName name="marques1_2019">'Participant 01'!$G$42</definedName>
    <definedName name="marques1_2020">'Participant 01'!$H$42</definedName>
    <definedName name="marques1_2021">'Participant 01'!$I$42</definedName>
    <definedName name="marques1_2022">'Participant 01'!$J$42</definedName>
    <definedName name="marques1_2023">'Participant 01'!$K$42</definedName>
    <definedName name="marques2_2017">'Participant 02'!$E$42</definedName>
    <definedName name="marques2_2018">'Participant 02'!$F$42</definedName>
    <definedName name="marques2_2019">'Participant 02'!$G$42</definedName>
    <definedName name="marques2_2020">'Participant 02'!$H$42</definedName>
    <definedName name="marques2_2021">'Participant 02'!$I$42</definedName>
    <definedName name="marques2_2022">'Participant 02'!$J$42</definedName>
    <definedName name="marques2_2023">'Participant 02'!$K$42</definedName>
    <definedName name="marques2017">'Sol·licitant '!$E$43</definedName>
    <definedName name="marques2018">'Sol·licitant '!$F$43</definedName>
    <definedName name="marques2019">'Sol·licitant '!$G$43</definedName>
    <definedName name="marques2020">'Sol·licitant '!$H$43</definedName>
    <definedName name="marques2021">'Sol·licitant '!$I$43</definedName>
    <definedName name="marques2022">'Sol·licitant '!$J$43</definedName>
    <definedName name="marques2023">'Sol·licitant '!$K$43</definedName>
    <definedName name="marques3_2017">'Participant 03'!$E$42</definedName>
    <definedName name="marques3_2018">'Participant 03'!$F$42</definedName>
    <definedName name="marques3_2019">'Participant 03'!$G$42</definedName>
    <definedName name="marques3_2020">'Participant 03'!$H$42</definedName>
    <definedName name="marques3_2021">'Participant 03'!$I$42</definedName>
    <definedName name="marques3_2022">'Participant 03'!$J$42</definedName>
    <definedName name="marques3_2023">'Participant 03'!$K$42</definedName>
    <definedName name="nif">#REF!</definedName>
    <definedName name="nif_1">'Sol·licitant '!$C$8</definedName>
    <definedName name="nif_2">'Participant 01'!$C$8</definedName>
    <definedName name="nif_3">'Participant 02'!$C$8</definedName>
    <definedName name="nif_4">'Participant 03'!$C$8</definedName>
    <definedName name="nomemp1">'Sol·licitant '!$C$7</definedName>
    <definedName name="nomemp2">'Participant 01'!$C$7</definedName>
    <definedName name="nomemp3">'Participant 02'!$C$7</definedName>
    <definedName name="nomemp4">'Participant 03'!$C$7</definedName>
    <definedName name="oportunitats1_2017">'Participant 01'!$E$48</definedName>
    <definedName name="oportunitats1_2018">'Participant 01'!$F$48</definedName>
    <definedName name="oportunitats1_2019">'Participant 01'!$G$48</definedName>
    <definedName name="oportunitats1_2020">'Participant 01'!$H$48</definedName>
    <definedName name="oportunitats1_2021">'Participant 01'!$I$48</definedName>
    <definedName name="oportunitats1_2022">'Participant 01'!$J$48</definedName>
    <definedName name="oportunitats1_2023">'Participant 01'!$K$48</definedName>
    <definedName name="oportunitats2_2017">'Participant 02'!$E$48</definedName>
    <definedName name="oportunitats2_2018">'Participant 02'!$F$48</definedName>
    <definedName name="oportunitats2_2019">'Participant 02'!$G$48</definedName>
    <definedName name="oportunitats2_2020">'Participant 02'!$H$48</definedName>
    <definedName name="oportunitats2_2021">'Participant 02'!$I$48</definedName>
    <definedName name="oportunitats2_2022">'Participant 02'!$J$48</definedName>
    <definedName name="oportunitats2_2023">'Participant 02'!$K$48</definedName>
    <definedName name="oportunitats2017">'Sol·licitant '!$E$49</definedName>
    <definedName name="oportunitats2018">'Sol·licitant '!$F$49</definedName>
    <definedName name="oportunitats2019">'Sol·licitant '!$G$49</definedName>
    <definedName name="oportunitats2020">'Sol·licitant '!$H$49</definedName>
    <definedName name="oportunitats2021">'Sol·licitant '!$I$49</definedName>
    <definedName name="oportunitats2022">'Sol·licitant '!$J$49</definedName>
    <definedName name="oportunitats2023">'Sol·licitant '!$K$49</definedName>
    <definedName name="oportunitats3_2017">'Participant 03'!$E$48</definedName>
    <definedName name="oportunitats3_2018">'Participant 03'!$F$48</definedName>
    <definedName name="oportunitats3_2019">'Participant 03'!$G$48</definedName>
    <definedName name="oportunitats3_2020">'Participant 03'!$H$48</definedName>
    <definedName name="oportunitats3_2021">'Participant 03'!$I$48</definedName>
    <definedName name="oportunitats3_2022">'Participant 03'!$J$48</definedName>
    <definedName name="oportunitats3_2023">'Participant 03'!$K$48</definedName>
    <definedName name="patents1_2017">'Participant 01'!$E$41</definedName>
    <definedName name="patents1_2018">'Participant 01'!$F$41</definedName>
    <definedName name="patents1_2019">'Participant 01'!$G$41</definedName>
    <definedName name="patents1_2020">'Participant 01'!$H$41</definedName>
    <definedName name="patents1_2021">'Participant 01'!$I$41</definedName>
    <definedName name="patents1_2022">'Participant 01'!$J$41</definedName>
    <definedName name="patents1_2023">'Participant 01'!$K$41</definedName>
    <definedName name="patents2_2017">'Participant 02'!$E$41</definedName>
    <definedName name="patents2_2018">'Participant 02'!$F$41</definedName>
    <definedName name="patents2_2019">'Participant 02'!$G$41</definedName>
    <definedName name="patents2_2020">'Participant 02'!$H$41</definedName>
    <definedName name="patents2_2021">'Participant 02'!$I$41</definedName>
    <definedName name="patents2_2022">'Participant 02'!$J$41</definedName>
    <definedName name="patents2_2023">'Participant 02'!$K$41</definedName>
    <definedName name="patents2017">'Sol·licitant '!$E$42</definedName>
    <definedName name="patents2018">'Sol·licitant '!$F$42</definedName>
    <definedName name="patents2019">'Sol·licitant '!$G$42</definedName>
    <definedName name="patents2020">'Sol·licitant '!$H$42</definedName>
    <definedName name="patents2021">'Sol·licitant '!$I$42</definedName>
    <definedName name="patents2022">'Sol·licitant '!$J$42</definedName>
    <definedName name="patents2023">'Sol·licitant '!$K$42</definedName>
    <definedName name="patents3_2017">'Participant 03'!$E$41</definedName>
    <definedName name="patents3_2018">'Participant 03'!$F$41</definedName>
    <definedName name="patents3_2019">'Participant 03'!$G$41</definedName>
    <definedName name="patents3_2020">'Participant 03'!$H$41</definedName>
    <definedName name="patents3_2021">'Participant 03'!$I$41</definedName>
    <definedName name="patents3_2022">'Participant 03'!$J$41</definedName>
    <definedName name="patents3_2023">'Participant 03'!$K$41</definedName>
    <definedName name="productivitat1_2017">'Participant 01'!$E$49</definedName>
    <definedName name="productivitat1_2018">'Participant 01'!$F$49</definedName>
    <definedName name="productivitat1_2019">'Participant 01'!$G$49</definedName>
    <definedName name="productivitat1_2020">'Participant 01'!$H$49</definedName>
    <definedName name="productivitat1_2021">'Participant 01'!$I$49</definedName>
    <definedName name="productivitat1_2022">'Participant 01'!$J$49</definedName>
    <definedName name="productivitat1_2023">'Participant 01'!$K$49</definedName>
    <definedName name="productivitat2_2017">'Participant 02'!$E$49</definedName>
    <definedName name="productivitat2_2018">'Participant 02'!$F$49</definedName>
    <definedName name="productivitat2_2019">'Participant 02'!$G$49</definedName>
    <definedName name="productivitat2_2020">'Participant 02'!$H$49</definedName>
    <definedName name="productivitat2_2021">'Participant 02'!$I$49</definedName>
    <definedName name="productivitat2_2022">'Participant 02'!$J$49</definedName>
    <definedName name="productivitat2_2023">'Participant 02'!$K$49</definedName>
    <definedName name="productivitat2017">'Sol·licitant '!$E$50</definedName>
    <definedName name="productivitat2018">'Sol·licitant '!$F$50</definedName>
    <definedName name="productivitat2019">'Sol·licitant '!$G$50</definedName>
    <definedName name="productivitat2020">'Sol·licitant '!$H$50</definedName>
    <definedName name="productivitat2021">'Sol·licitant '!$I$50</definedName>
    <definedName name="productivitat2022">'Sol·licitant '!$J$50</definedName>
    <definedName name="productivitat2023">'Sol·licitant '!$K$50</definedName>
    <definedName name="productivitat3_2017">'Participant 03'!$E$49</definedName>
    <definedName name="productivitat3_2018">'Participant 03'!$F$49</definedName>
    <definedName name="productivitat3_2019">'Participant 03'!$G$49</definedName>
    <definedName name="productivitat3_2020">'Participant 03'!$H$49</definedName>
    <definedName name="productivitat3_2021">'Participant 03'!$I$49</definedName>
    <definedName name="productivitat3_2022">'Participant 03'!$J$49</definedName>
    <definedName name="productivitat3_2023">'Participant 03'!$K$49</definedName>
    <definedName name="residus1_2017">'Participant 01'!$E$53</definedName>
    <definedName name="residus1_2018">'Participant 01'!$F$53</definedName>
    <definedName name="residus1_2019">'Participant 01'!$G$53</definedName>
    <definedName name="residus1_2020">'Participant 01'!$H$53</definedName>
    <definedName name="residus1_2021">'Participant 01'!$I$53</definedName>
    <definedName name="residus1_2022">'Participant 01'!$J$53</definedName>
    <definedName name="residus1_2023">'Participant 01'!$K$53</definedName>
    <definedName name="residus2_2017">'Participant 02'!$E$53</definedName>
    <definedName name="residus2_2018">'Participant 02'!$F$53</definedName>
    <definedName name="residus2_2019">'Participant 02'!$G$53</definedName>
    <definedName name="residus2_2020">'Participant 02'!$H$53</definedName>
    <definedName name="residus2_2021">'Participant 02'!$I$53</definedName>
    <definedName name="residus2_2022">'Participant 02'!$J$53</definedName>
    <definedName name="residus2_2023">'Participant 02'!$K$53</definedName>
    <definedName name="residus2017">'Sol·licitant '!$E$54</definedName>
    <definedName name="residus2018">'Sol·licitant '!$F$54</definedName>
    <definedName name="residus2019">'Sol·licitant '!$G$54</definedName>
    <definedName name="residus2020">'Sol·licitant '!$H$54</definedName>
    <definedName name="residus2021">'Sol·licitant '!$I$54</definedName>
    <definedName name="residus2022">'Sol·licitant '!$J$54</definedName>
    <definedName name="residus2023">'Sol·licitant '!$K$54</definedName>
    <definedName name="residus3_2017">'Participant 03'!$E$53</definedName>
    <definedName name="residus3_2018">'Participant 03'!$F$53</definedName>
    <definedName name="residus3_2019">'Participant 03'!$G$53</definedName>
    <definedName name="residus3_2020">'Participant 03'!$H$53</definedName>
    <definedName name="residus3_2021">'Participant 03'!$I$53</definedName>
    <definedName name="residus3_2022">'Participant 03'!$J$53</definedName>
    <definedName name="residus3_2023">'Participant 03'!$K$53</definedName>
    <definedName name="spinoff1_2017">'Participant 01'!$E$40</definedName>
    <definedName name="spinoff1_2018">'Participant 01'!$F$40</definedName>
    <definedName name="spinoff1_2019">'Participant 01'!$G$40</definedName>
    <definedName name="spinoff1_2020">'Participant 01'!$H$40</definedName>
    <definedName name="spinoff1_2021">'Participant 01'!$I$40</definedName>
    <definedName name="spinoff1_2022">'Participant 01'!$J$40</definedName>
    <definedName name="spinoff1_2023">'Participant 01'!$K$40</definedName>
    <definedName name="spinoff1_2024">'Participant 01'!$L$40</definedName>
    <definedName name="spinoff2_2017">'Participant 02'!$E$40</definedName>
    <definedName name="spinoff2_2018">'Participant 02'!$F$40</definedName>
    <definedName name="spinoff2_2019">'Participant 02'!$G$40</definedName>
    <definedName name="spinoff2_2020">'Participant 02'!$H$40</definedName>
    <definedName name="spinoff2_2021">'Participant 02'!$I$40</definedName>
    <definedName name="spinoff2_2022">'Participant 02'!$J$40</definedName>
    <definedName name="spinoff2_2023">'Participant 02'!$K$40</definedName>
    <definedName name="spinoff2017">'Sol·licitant '!$E$41</definedName>
    <definedName name="spinoff2018">'Sol·licitant '!$F$41</definedName>
    <definedName name="spinoff2019">'Sol·licitant '!$G$41</definedName>
    <definedName name="spinoff2020">'Sol·licitant '!$H$41</definedName>
    <definedName name="spinoff2021">'Sol·licitant '!$I$41</definedName>
    <definedName name="spinoff2022">'Sol·licitant '!$J$41</definedName>
    <definedName name="spinoff2023">'Sol·licitant '!$K$41</definedName>
    <definedName name="spinoff3_2017">'Participant 03'!$E$40</definedName>
    <definedName name="spinoff3_2018">'Participant 03'!$F$40</definedName>
    <definedName name="spinoff3_2019">'Participant 03'!$G$40</definedName>
    <definedName name="spinoff3_2020">'Participant 03'!$H$40</definedName>
    <definedName name="spinoff3_2021">'Participant 03'!$I$40</definedName>
    <definedName name="spinoff3_2022">'Participant 03'!$J$40</definedName>
    <definedName name="spinoff3_2023">'Participant 03'!$K$40</definedName>
    <definedName name="subvencions1_2017">'Participant 01'!$E$14</definedName>
    <definedName name="subvencions1_2018">'Participant 01'!$F$14</definedName>
    <definedName name="subvencions1_2019">'Participant 01'!$G$14</definedName>
    <definedName name="subvencions1_2020">'Participant 01'!$H$14</definedName>
    <definedName name="subvencions1_2021">'Participant 01'!$I$14</definedName>
    <definedName name="subvencions1_2022">'Participant 01'!$J$14</definedName>
    <definedName name="subvencions1_2023">'Participant 01'!$K$14</definedName>
    <definedName name="subvencions2_2017">'Participant 02'!$E$14</definedName>
    <definedName name="subvencions2_2018">'Participant 02'!$F$14</definedName>
    <definedName name="subvencions2_2019">'Participant 02'!$G$14</definedName>
    <definedName name="subvencions2_2020">'Participant 02'!$H$14</definedName>
    <definedName name="subvencions2_2021">'Participant 02'!$I$14</definedName>
    <definedName name="subvencions2_2022">'Participant 02'!$J$14</definedName>
    <definedName name="subvencions2_2023">'Participant 02'!$K$14</definedName>
    <definedName name="subvencions2017">'Sol·licitant '!$E$15</definedName>
    <definedName name="subvencions2018">'Sol·licitant '!$F$15</definedName>
    <definedName name="subvencions2019">'Sol·licitant '!$G$15</definedName>
    <definedName name="subvencions2020">'Sol·licitant '!$H$15</definedName>
    <definedName name="subvencions2021">'Sol·licitant '!$I$15</definedName>
    <definedName name="subvencions2022">'Sol·licitant '!$J$15</definedName>
    <definedName name="subvencions2023">'Sol·licitant '!$K$15</definedName>
    <definedName name="subvencions3_2017">'Participant 03'!$E$14</definedName>
    <definedName name="subvencions3_2018">'Participant 03'!$F$14</definedName>
    <definedName name="subvencions3_2019">'Participant 03'!$G$14</definedName>
    <definedName name="subvencions3_2020">'Participant 03'!$H$14</definedName>
    <definedName name="subvencions3_2021">'Participant 03'!$I$14</definedName>
    <definedName name="subvencions3_2022">'Participant 03'!$J$14</definedName>
    <definedName name="subvencions3_2023">'Participant 03'!$K$14</definedName>
    <definedName name="universitats1_2017">'Participant 01'!$E$37</definedName>
    <definedName name="universitats1_2018">'Participant 01'!$F$37</definedName>
    <definedName name="universitats1_2019">'Participant 01'!$G$37</definedName>
    <definedName name="universitats1_2020">'Participant 01'!$H$37</definedName>
    <definedName name="universitats1_2021">'Participant 01'!$I$37</definedName>
    <definedName name="universitats1_2022">'Participant 01'!$J$37</definedName>
    <definedName name="universitats1_2023">'Participant 01'!$K$37</definedName>
    <definedName name="universitats2_2017">'Participant 02'!$E$37</definedName>
    <definedName name="universitats2_2018">'Participant 02'!$F$37</definedName>
    <definedName name="universitats2_2019">'Participant 02'!$G$37</definedName>
    <definedName name="universitats2_2020">'Participant 02'!$H$37</definedName>
    <definedName name="universitats2_2021">'Participant 02'!$I$37</definedName>
    <definedName name="universitats2_2022">'Participant 02'!$J$37</definedName>
    <definedName name="universitats2_2023">'Participant 02'!$K$37</definedName>
    <definedName name="universitats2017">'Sol·licitant '!$E$38</definedName>
    <definedName name="universitats2018">'Sol·licitant '!$F$38</definedName>
    <definedName name="universitats2019">'Sol·licitant '!$G$38</definedName>
    <definedName name="universitats2020">'Sol·licitant '!$H$38</definedName>
    <definedName name="universitats2021">'Sol·licitant '!$I$38</definedName>
    <definedName name="universitats2022">'Sol·licitant '!$J$38</definedName>
    <definedName name="universitats2023">'Sol·licitant '!$K$38</definedName>
    <definedName name="universitats3_2017">'Participant 03'!$E$37</definedName>
    <definedName name="universitats3_2018">'Participant 03'!$F$37</definedName>
    <definedName name="universitats3_2019">'Participant 03'!$G$37</definedName>
    <definedName name="universitats3_2020">'Participant 03'!$H$37</definedName>
    <definedName name="universitats3_2021">'Participant 03'!$I$37</definedName>
    <definedName name="universitats3_2022">'Participant 03'!$J$37</definedName>
    <definedName name="universitats3_2023">'Participant 03'!$K$37</definedName>
    <definedName name="Z_EDFE284D_223A_49E7_8396_C31999A2537B_.wvu.Cols" localSheetId="0" hidden="1">'Sol·licitant '!$BA:$BA</definedName>
  </definedNames>
  <calcPr calcId="179017"/>
  <customWorkbookViews>
    <customWorkbookView name="Mireia Raurell - Vista personalizada" guid="{EDFE284D-223A-49E7-8396-C31999A2537B}" mergeInterval="0" personalView="1" windowWidth="1920" windowHeight="105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D5" i="5" l="1"/>
  <c r="D3" i="5" l="1"/>
  <c r="C9" i="2"/>
  <c r="E3" i="5"/>
  <c r="A3" i="5" l="1"/>
  <c r="C6" i="4" l="1"/>
  <c r="C5" i="3"/>
  <c r="C6" i="3" s="1"/>
  <c r="D4" i="5" s="1"/>
  <c r="C6" i="1"/>
  <c r="D2" i="5" s="1"/>
  <c r="B2" i="5"/>
  <c r="C2" i="5" l="1"/>
  <c r="E2" i="5"/>
  <c r="A5" i="5" l="1"/>
  <c r="A4" i="5"/>
  <c r="A2" i="5"/>
  <c r="C9" i="4" l="1"/>
  <c r="C9" i="3"/>
  <c r="C5" i="2"/>
  <c r="C6" i="2" s="1"/>
  <c r="IA5" i="5" l="1"/>
  <c r="IA4" i="5"/>
  <c r="IA3" i="5"/>
  <c r="HZ5" i="5"/>
  <c r="HZ4" i="5"/>
  <c r="HZ3" i="5"/>
  <c r="HY5" i="5"/>
  <c r="HY4" i="5"/>
  <c r="HY3" i="5"/>
  <c r="HX5" i="5"/>
  <c r="HX4" i="5"/>
  <c r="HX3" i="5"/>
  <c r="HW5" i="5"/>
  <c r="HW4" i="5"/>
  <c r="HW3" i="5"/>
  <c r="HV5" i="5"/>
  <c r="HV4" i="5"/>
  <c r="HV3" i="5"/>
  <c r="HU5" i="5"/>
  <c r="HU4" i="5"/>
  <c r="HU3" i="5"/>
  <c r="HT5" i="5"/>
  <c r="HT4" i="5"/>
  <c r="HT3" i="5"/>
  <c r="HS5" i="5"/>
  <c r="HS4" i="5"/>
  <c r="HS3" i="5"/>
  <c r="HR5" i="5"/>
  <c r="HR4" i="5"/>
  <c r="HR3" i="5"/>
  <c r="HQ5" i="5"/>
  <c r="HQ4" i="5"/>
  <c r="HQ3" i="5"/>
  <c r="HP5" i="5"/>
  <c r="HP4" i="5"/>
  <c r="HP3" i="5"/>
  <c r="HO5" i="5"/>
  <c r="HO4" i="5"/>
  <c r="HO3" i="5"/>
  <c r="HN5" i="5"/>
  <c r="HN4" i="5"/>
  <c r="HN3" i="5"/>
  <c r="HM5" i="5"/>
  <c r="HM4" i="5"/>
  <c r="HM3" i="5"/>
  <c r="HL5" i="5"/>
  <c r="HL4" i="5"/>
  <c r="HL3" i="5"/>
  <c r="HK5" i="5"/>
  <c r="HK4" i="5"/>
  <c r="HK3" i="5"/>
  <c r="HJ5" i="5"/>
  <c r="HJ4" i="5"/>
  <c r="HJ3" i="5"/>
  <c r="HI5" i="5"/>
  <c r="HI4" i="5"/>
  <c r="HI3" i="5"/>
  <c r="HH5" i="5"/>
  <c r="HH4" i="5"/>
  <c r="HH3" i="5"/>
  <c r="HG5" i="5"/>
  <c r="HG4" i="5"/>
  <c r="HG3" i="5"/>
  <c r="HF5" i="5"/>
  <c r="HF4" i="5"/>
  <c r="HF3" i="5"/>
  <c r="HE5" i="5"/>
  <c r="HE4" i="5"/>
  <c r="HE3" i="5"/>
  <c r="HD5" i="5"/>
  <c r="HD4" i="5"/>
  <c r="HD3" i="5"/>
  <c r="HC5" i="5"/>
  <c r="HC4" i="5"/>
  <c r="HC3" i="5"/>
  <c r="HB5" i="5"/>
  <c r="HB4" i="5"/>
  <c r="HB3" i="5"/>
  <c r="HA5" i="5"/>
  <c r="HA4" i="5"/>
  <c r="HA3" i="5"/>
  <c r="GZ5" i="5"/>
  <c r="GZ4" i="5"/>
  <c r="GZ3" i="5"/>
  <c r="GY5" i="5"/>
  <c r="GY4" i="5"/>
  <c r="GY3" i="5"/>
  <c r="GX5" i="5"/>
  <c r="GX4" i="5"/>
  <c r="GX3" i="5"/>
  <c r="GW5" i="5"/>
  <c r="GW4" i="5"/>
  <c r="GW3" i="5"/>
  <c r="GV5" i="5"/>
  <c r="GV4" i="5"/>
  <c r="GV3" i="5"/>
  <c r="GU5" i="5"/>
  <c r="GU4" i="5"/>
  <c r="GU3" i="5"/>
  <c r="GT5" i="5"/>
  <c r="GT4" i="5"/>
  <c r="GT3" i="5"/>
  <c r="GS5" i="5"/>
  <c r="GS4" i="5"/>
  <c r="GS3" i="5"/>
  <c r="GR5" i="5"/>
  <c r="GR4" i="5"/>
  <c r="GR3" i="5"/>
  <c r="GQ5" i="5"/>
  <c r="GQ4" i="5"/>
  <c r="GQ3" i="5"/>
  <c r="GP5" i="5"/>
  <c r="GP4" i="5"/>
  <c r="GP3" i="5"/>
  <c r="GO5" i="5"/>
  <c r="GO4" i="5"/>
  <c r="GO3" i="5"/>
  <c r="GN5" i="5"/>
  <c r="GN4" i="5"/>
  <c r="GN3" i="5"/>
  <c r="GM5" i="5"/>
  <c r="GM4" i="5"/>
  <c r="GM3" i="5"/>
  <c r="GL5" i="5"/>
  <c r="GL4" i="5"/>
  <c r="GL3" i="5"/>
  <c r="GK5" i="5" l="1"/>
  <c r="GK4" i="5"/>
  <c r="GK3" i="5"/>
  <c r="GJ5" i="5"/>
  <c r="GJ4" i="5"/>
  <c r="GJ3" i="5"/>
  <c r="GI5" i="5"/>
  <c r="GI4" i="5"/>
  <c r="GI3" i="5"/>
  <c r="GH5" i="5"/>
  <c r="GH4" i="5"/>
  <c r="GH3" i="5"/>
  <c r="GG5" i="5"/>
  <c r="GG4" i="5"/>
  <c r="GG3" i="5"/>
  <c r="GF5" i="5"/>
  <c r="GF4" i="5"/>
  <c r="GF3" i="5"/>
  <c r="GE5" i="5"/>
  <c r="GE4" i="5"/>
  <c r="GE3" i="5"/>
  <c r="GD5" i="5" l="1"/>
  <c r="GD4" i="5"/>
  <c r="GD3" i="5"/>
  <c r="GC5" i="5"/>
  <c r="GC4" i="5"/>
  <c r="GC3" i="5"/>
  <c r="GB5" i="5"/>
  <c r="GB4" i="5"/>
  <c r="GB3" i="5"/>
  <c r="GA5" i="5"/>
  <c r="GA4" i="5"/>
  <c r="GA3" i="5"/>
  <c r="FZ5" i="5"/>
  <c r="FZ4" i="5"/>
  <c r="FZ3" i="5"/>
  <c r="FY5" i="5"/>
  <c r="FY4" i="5"/>
  <c r="FY3" i="5"/>
  <c r="FX5" i="5"/>
  <c r="FX4" i="5"/>
  <c r="FX3" i="5"/>
  <c r="FW5" i="5"/>
  <c r="FW4" i="5"/>
  <c r="FW3" i="5"/>
  <c r="FV5" i="5"/>
  <c r="FV4" i="5"/>
  <c r="FV3" i="5"/>
  <c r="FU5" i="5"/>
  <c r="FU4" i="5"/>
  <c r="FU3" i="5"/>
  <c r="FT5" i="5"/>
  <c r="FT4" i="5"/>
  <c r="FT3" i="5"/>
  <c r="FS5" i="5"/>
  <c r="FS4" i="5"/>
  <c r="FS3" i="5"/>
  <c r="FR5" i="5"/>
  <c r="FR4" i="5"/>
  <c r="FR3" i="5"/>
  <c r="FR2" i="5"/>
  <c r="FQ5" i="5"/>
  <c r="FQ4" i="5"/>
  <c r="FQ3" i="5"/>
  <c r="FP5" i="5"/>
  <c r="FP4" i="5"/>
  <c r="FP3" i="5"/>
  <c r="FO5" i="5"/>
  <c r="FO4" i="5"/>
  <c r="FO3" i="5"/>
  <c r="FN5" i="5"/>
  <c r="FN4" i="5"/>
  <c r="FN3" i="5"/>
  <c r="FM5" i="5"/>
  <c r="FM4" i="5"/>
  <c r="FM3" i="5"/>
  <c r="FL5" i="5"/>
  <c r="FL4" i="5"/>
  <c r="FL3" i="5"/>
  <c r="FK5" i="5"/>
  <c r="FK4" i="5"/>
  <c r="FK3" i="5"/>
  <c r="FJ5" i="5"/>
  <c r="FJ4" i="5"/>
  <c r="FJ3" i="5"/>
  <c r="FI5" i="5"/>
  <c r="FI4" i="5"/>
  <c r="FI3" i="5"/>
  <c r="FH5" i="5"/>
  <c r="FH4" i="5"/>
  <c r="FH3" i="5"/>
  <c r="FG5" i="5"/>
  <c r="FG4" i="5"/>
  <c r="FG3" i="5"/>
  <c r="FF5" i="5"/>
  <c r="FF4" i="5"/>
  <c r="FF3" i="5"/>
  <c r="FE5" i="5"/>
  <c r="FE4" i="5"/>
  <c r="FE3" i="5"/>
  <c r="FD5" i="5"/>
  <c r="FD4" i="5"/>
  <c r="FD3" i="5"/>
  <c r="FC5" i="5"/>
  <c r="FC4" i="5"/>
  <c r="FC3" i="5"/>
  <c r="FB5" i="5"/>
  <c r="FB4" i="5"/>
  <c r="FB3" i="5"/>
  <c r="FA5" i="5"/>
  <c r="FA4" i="5"/>
  <c r="FA3" i="5"/>
  <c r="EZ5" i="5"/>
  <c r="EZ4" i="5"/>
  <c r="EZ3" i="5"/>
  <c r="EY5" i="5"/>
  <c r="EY4" i="5"/>
  <c r="EY3" i="5"/>
  <c r="EX5" i="5"/>
  <c r="EX4" i="5"/>
  <c r="EX3" i="5"/>
  <c r="EW5" i="5"/>
  <c r="EW4" i="5"/>
  <c r="EW3" i="5"/>
  <c r="EV5" i="5"/>
  <c r="EV4" i="5"/>
  <c r="EV3" i="5"/>
  <c r="EU5" i="5"/>
  <c r="EO5" i="5"/>
  <c r="EU4" i="5"/>
  <c r="EU3" i="5"/>
  <c r="ET5" i="5"/>
  <c r="ET4" i="5"/>
  <c r="ET3" i="5"/>
  <c r="ES5" i="5"/>
  <c r="ES4" i="5"/>
  <c r="ES3" i="5"/>
  <c r="ER5" i="5"/>
  <c r="ER4" i="5"/>
  <c r="ER3" i="5"/>
  <c r="EQ5" i="5"/>
  <c r="EQ4" i="5"/>
  <c r="EQ3" i="5"/>
  <c r="EP5" i="5"/>
  <c r="EP4" i="5"/>
  <c r="EP3" i="5"/>
  <c r="EO4" i="5"/>
  <c r="EO3" i="5"/>
  <c r="EN5" i="5"/>
  <c r="EN4" i="5"/>
  <c r="EN3" i="5"/>
  <c r="EM5" i="5"/>
  <c r="EM4" i="5"/>
  <c r="EM3" i="5"/>
  <c r="EL5" i="5"/>
  <c r="EL4" i="5"/>
  <c r="EL3" i="5"/>
  <c r="EK5" i="5"/>
  <c r="EK4" i="5"/>
  <c r="EK3" i="5"/>
  <c r="EJ5" i="5"/>
  <c r="EJ4" i="5"/>
  <c r="EJ3" i="5"/>
  <c r="EI5" i="5"/>
  <c r="EI4" i="5"/>
  <c r="EI3" i="5"/>
  <c r="EH5" i="5"/>
  <c r="EH4" i="5"/>
  <c r="EH3" i="5"/>
  <c r="EG5" i="5"/>
  <c r="EG4" i="5"/>
  <c r="EG3" i="5"/>
  <c r="EF5" i="5"/>
  <c r="EF4" i="5"/>
  <c r="EF3" i="5"/>
  <c r="EE5" i="5"/>
  <c r="EE4" i="5"/>
  <c r="EE3" i="5"/>
  <c r="ED3" i="5"/>
  <c r="ED4" i="5"/>
  <c r="ED5" i="5"/>
  <c r="EC5" i="5"/>
  <c r="EC4" i="5"/>
  <c r="EC3" i="5"/>
  <c r="EB5" i="5"/>
  <c r="EB4" i="5"/>
  <c r="EB3" i="5"/>
  <c r="EA5" i="5"/>
  <c r="EA4" i="5"/>
  <c r="EA3" i="5"/>
  <c r="DZ5" i="5"/>
  <c r="DZ4" i="5"/>
  <c r="DZ3" i="5"/>
  <c r="DY5" i="5"/>
  <c r="DY4" i="5"/>
  <c r="DY3" i="5"/>
  <c r="DX5" i="5"/>
  <c r="DX4" i="5"/>
  <c r="DX3" i="5"/>
  <c r="DW5" i="5"/>
  <c r="DW4" i="5"/>
  <c r="DW3" i="5"/>
  <c r="DV5" i="5"/>
  <c r="DV4" i="5"/>
  <c r="DV3" i="5"/>
  <c r="DU5" i="5"/>
  <c r="DU4" i="5"/>
  <c r="DU3" i="5"/>
  <c r="DT5" i="5"/>
  <c r="DT4" i="5"/>
  <c r="DT3" i="5"/>
  <c r="DS5" i="5"/>
  <c r="DS4" i="5"/>
  <c r="DS3" i="5"/>
  <c r="DR5" i="5"/>
  <c r="DR4" i="5"/>
  <c r="DR3" i="5"/>
  <c r="DQ5" i="5"/>
  <c r="DQ4" i="5"/>
  <c r="DQ3" i="5"/>
  <c r="DP5" i="5"/>
  <c r="DP4" i="5"/>
  <c r="DP3" i="5"/>
  <c r="DO5" i="5"/>
  <c r="DO4" i="5"/>
  <c r="DO3" i="5"/>
  <c r="DN5" i="5"/>
  <c r="DN4" i="5"/>
  <c r="DN3" i="5"/>
  <c r="DM5" i="5"/>
  <c r="DM4" i="5"/>
  <c r="DM3" i="5"/>
  <c r="DL5" i="5"/>
  <c r="DL4" i="5"/>
  <c r="DL3" i="5"/>
  <c r="DK5" i="5"/>
  <c r="DK4" i="5"/>
  <c r="DK3" i="5"/>
  <c r="DJ5" i="5"/>
  <c r="DJ4" i="5"/>
  <c r="DJ3" i="5"/>
  <c r="DI5" i="5"/>
  <c r="DI4" i="5"/>
  <c r="DI3" i="5"/>
  <c r="DH5" i="5"/>
  <c r="DH4" i="5"/>
  <c r="DH3" i="5"/>
  <c r="DG5" i="5"/>
  <c r="DG4" i="5"/>
  <c r="DG3" i="5"/>
  <c r="DF5" i="5"/>
  <c r="DF4" i="5"/>
  <c r="DF3" i="5"/>
  <c r="DE5" i="5"/>
  <c r="DE4" i="5"/>
  <c r="DE3" i="5"/>
  <c r="DD5" i="5"/>
  <c r="DD4" i="5"/>
  <c r="DD3" i="5"/>
  <c r="DC5" i="5"/>
  <c r="DC4" i="5"/>
  <c r="DC3" i="5"/>
  <c r="DB5" i="5"/>
  <c r="DB4" i="5"/>
  <c r="DB3" i="5"/>
  <c r="DA5" i="5"/>
  <c r="DA4" i="5"/>
  <c r="DA3" i="5"/>
  <c r="CZ5" i="5"/>
  <c r="CZ4" i="5"/>
  <c r="CZ3" i="5"/>
  <c r="CY5" i="5"/>
  <c r="CY4" i="5"/>
  <c r="CY3" i="5"/>
  <c r="CX5" i="5"/>
  <c r="CX4" i="5"/>
  <c r="CX3" i="5"/>
  <c r="CW5" i="5"/>
  <c r="CW4" i="5"/>
  <c r="CW3" i="5"/>
  <c r="CV5" i="5"/>
  <c r="CV4" i="5"/>
  <c r="CV3" i="5"/>
  <c r="CU5" i="5"/>
  <c r="CU4" i="5"/>
  <c r="CU3" i="5"/>
  <c r="CT5" i="5"/>
  <c r="CT4" i="5"/>
  <c r="CT3" i="5"/>
  <c r="CS5" i="5"/>
  <c r="CS4" i="5"/>
  <c r="CS3" i="5"/>
  <c r="CR5" i="5"/>
  <c r="CR4" i="5"/>
  <c r="CR3" i="5"/>
  <c r="CQ5" i="5"/>
  <c r="CQ4" i="5"/>
  <c r="CQ3" i="5"/>
  <c r="CP5" i="5"/>
  <c r="CP4" i="5"/>
  <c r="CP3" i="5"/>
  <c r="CO5" i="5"/>
  <c r="CO4" i="5"/>
  <c r="CO3" i="5"/>
  <c r="CN5" i="5"/>
  <c r="CN4" i="5"/>
  <c r="CN3" i="5"/>
  <c r="CM5" i="5"/>
  <c r="CM4" i="5"/>
  <c r="CM3" i="5"/>
  <c r="CL5" i="5"/>
  <c r="CL4" i="5"/>
  <c r="CL3" i="5"/>
  <c r="CK5" i="5"/>
  <c r="CK4" i="5"/>
  <c r="CK3" i="5"/>
  <c r="CI5" i="5"/>
  <c r="CI4" i="5"/>
  <c r="CH5" i="5"/>
  <c r="CH4" i="5"/>
  <c r="CG5" i="5"/>
  <c r="CG4" i="5"/>
  <c r="CF5" i="5"/>
  <c r="CF4" i="5"/>
  <c r="CE5" i="5"/>
  <c r="CE4" i="5"/>
  <c r="CD5" i="5"/>
  <c r="CD4" i="5"/>
  <c r="CJ5" i="5"/>
  <c r="CJ4" i="5"/>
  <c r="CD3" i="5"/>
  <c r="CE3" i="5"/>
  <c r="CF3" i="5"/>
  <c r="CG3" i="5"/>
  <c r="CH3" i="5"/>
  <c r="CI3" i="5"/>
  <c r="CJ3" i="5"/>
  <c r="BW5" i="5"/>
  <c r="BX5" i="5"/>
  <c r="BY5" i="5"/>
  <c r="BZ5" i="5"/>
  <c r="CA5" i="5"/>
  <c r="CB5" i="5"/>
  <c r="CC5" i="5"/>
  <c r="BX4" i="5"/>
  <c r="BY4" i="5"/>
  <c r="BZ4" i="5"/>
  <c r="CA4" i="5"/>
  <c r="CB4" i="5"/>
  <c r="CC4" i="5"/>
  <c r="CC3" i="5"/>
  <c r="CB3" i="5"/>
  <c r="CA3" i="5"/>
  <c r="BZ3" i="5"/>
  <c r="BY3" i="5"/>
  <c r="BX3" i="5"/>
  <c r="BW4" i="5"/>
  <c r="BW3" i="5"/>
  <c r="BP5" i="5"/>
  <c r="BP4" i="5"/>
  <c r="BQ5" i="5"/>
  <c r="BQ4" i="5"/>
  <c r="BR5" i="5"/>
  <c r="BR4" i="5"/>
  <c r="BS5" i="5"/>
  <c r="BS4" i="5"/>
  <c r="BT5" i="5"/>
  <c r="BT4" i="5"/>
  <c r="BU5" i="5"/>
  <c r="BU4" i="5"/>
  <c r="BV5" i="5"/>
  <c r="BV4" i="5"/>
  <c r="BP3" i="5"/>
  <c r="BQ3" i="5"/>
  <c r="BR3" i="5"/>
  <c r="BS3" i="5"/>
  <c r="BT3" i="5"/>
  <c r="BU3" i="5"/>
  <c r="BV3" i="5"/>
  <c r="BN4" i="5"/>
  <c r="BO5" i="5"/>
  <c r="BO4" i="5"/>
  <c r="BO3" i="5"/>
  <c r="BO2" i="5"/>
  <c r="BN3" i="5"/>
  <c r="BM5" i="5"/>
  <c r="BM4" i="5"/>
  <c r="BM3" i="5"/>
  <c r="BL5" i="5"/>
  <c r="BL4" i="5"/>
  <c r="BL3" i="5"/>
  <c r="BK5" i="5"/>
  <c r="BK4" i="5"/>
  <c r="BK3" i="5"/>
  <c r="BJ5" i="5"/>
  <c r="BJ4" i="5"/>
  <c r="BJ3" i="5"/>
  <c r="BI5" i="5"/>
  <c r="BI4" i="5"/>
  <c r="BI3" i="5"/>
  <c r="BH5" i="5"/>
  <c r="BH4" i="5"/>
  <c r="BH3" i="5"/>
  <c r="BG5" i="5"/>
  <c r="BG4" i="5"/>
  <c r="BG3" i="5"/>
  <c r="BF5" i="5"/>
  <c r="BF4" i="5"/>
  <c r="BF3" i="5"/>
  <c r="BE5" i="5"/>
  <c r="BE4" i="5"/>
  <c r="BE3" i="5"/>
  <c r="BD5" i="5"/>
  <c r="BD4" i="5"/>
  <c r="BD3" i="5"/>
  <c r="BC5" i="5"/>
  <c r="BC4" i="5"/>
  <c r="BC3" i="5"/>
  <c r="BB5" i="5"/>
  <c r="BB4" i="5"/>
  <c r="BB3" i="5"/>
  <c r="BA5" i="5"/>
  <c r="AZ5" i="5"/>
  <c r="AY5" i="5"/>
  <c r="AX5" i="5"/>
  <c r="AW5" i="5"/>
  <c r="AV5" i="5"/>
  <c r="AU5" i="5"/>
  <c r="BA4" i="5"/>
  <c r="AZ4" i="5"/>
  <c r="AY4" i="5"/>
  <c r="AX4" i="5"/>
  <c r="AW4" i="5"/>
  <c r="AV4" i="5"/>
  <c r="AU4" i="5"/>
  <c r="BA3" i="5"/>
  <c r="AZ3" i="5"/>
  <c r="AY3" i="5"/>
  <c r="AX3" i="5"/>
  <c r="AW3" i="5"/>
  <c r="AV3" i="5"/>
  <c r="AU3" i="5"/>
  <c r="AT5" i="5"/>
  <c r="AS5" i="5"/>
  <c r="AR5" i="5"/>
  <c r="AQ5" i="5"/>
  <c r="AP5" i="5"/>
  <c r="AO5" i="5"/>
  <c r="AN5" i="5"/>
  <c r="AN4" i="5"/>
  <c r="AO4" i="5"/>
  <c r="AP4" i="5"/>
  <c r="AQ4" i="5"/>
  <c r="AR4" i="5"/>
  <c r="AS4" i="5"/>
  <c r="AT4" i="5"/>
  <c r="AT3" i="5"/>
  <c r="AS3" i="5"/>
  <c r="AR3" i="5"/>
  <c r="AQ3" i="5"/>
  <c r="AP3" i="5"/>
  <c r="AO3" i="5"/>
  <c r="AN3" i="5"/>
  <c r="AM5" i="5"/>
  <c r="AM4" i="5"/>
  <c r="AL5" i="5"/>
  <c r="AL4" i="5"/>
  <c r="AK5" i="5"/>
  <c r="AK4" i="5"/>
  <c r="AJ5" i="5"/>
  <c r="AJ4" i="5"/>
  <c r="AI5" i="5"/>
  <c r="AI4" i="5"/>
  <c r="AH5" i="5"/>
  <c r="AH4" i="5"/>
  <c r="AG5" i="5"/>
  <c r="AG4" i="5"/>
  <c r="AG3" i="5"/>
  <c r="AH3" i="5"/>
  <c r="AI3" i="5"/>
  <c r="AJ3" i="5"/>
  <c r="AK3" i="5"/>
  <c r="AL3" i="5"/>
  <c r="AM3" i="5"/>
  <c r="AF5" i="5"/>
  <c r="AE5" i="5"/>
  <c r="AD5" i="5"/>
  <c r="AC5" i="5"/>
  <c r="AB5" i="5"/>
  <c r="AA5" i="5"/>
  <c r="Z5" i="5"/>
  <c r="AF4" i="5"/>
  <c r="AE4" i="5"/>
  <c r="AD4" i="5"/>
  <c r="AC4" i="5"/>
  <c r="AB4" i="5"/>
  <c r="AA4" i="5"/>
  <c r="Z4" i="5"/>
  <c r="AF3" i="5"/>
  <c r="AE3" i="5"/>
  <c r="AD3" i="5"/>
  <c r="AC3" i="5"/>
  <c r="AB3" i="5"/>
  <c r="AA3" i="5"/>
  <c r="Z3" i="5"/>
  <c r="Y5" i="5"/>
  <c r="X5" i="5"/>
  <c r="U5" i="5"/>
  <c r="T5" i="5"/>
  <c r="S5" i="5"/>
  <c r="Y4" i="5"/>
  <c r="X4" i="5"/>
  <c r="W5" i="5"/>
  <c r="W4" i="5"/>
  <c r="V5" i="5"/>
  <c r="V4" i="5"/>
  <c r="U4" i="5"/>
  <c r="T4" i="5"/>
  <c r="S4" i="5"/>
  <c r="Y3" i="5"/>
  <c r="X3" i="5"/>
  <c r="W3" i="5"/>
  <c r="V3" i="5"/>
  <c r="U3" i="5"/>
  <c r="T3" i="5"/>
  <c r="S3" i="5"/>
  <c r="R5" i="5"/>
  <c r="R4" i="5"/>
  <c r="R3" i="5"/>
  <c r="Q5" i="5"/>
  <c r="Q4" i="5"/>
  <c r="Q3" i="5"/>
  <c r="P5" i="5"/>
  <c r="P4" i="5"/>
  <c r="P3" i="5"/>
  <c r="O5" i="5"/>
  <c r="O4" i="5"/>
  <c r="O3" i="5"/>
  <c r="N5" i="5"/>
  <c r="N4" i="5"/>
  <c r="N3" i="5"/>
  <c r="M5" i="5"/>
  <c r="M4" i="5"/>
  <c r="M3" i="5"/>
  <c r="L2" i="5"/>
  <c r="L5" i="5"/>
  <c r="L4" i="5"/>
  <c r="L3" i="5"/>
  <c r="K5" i="5"/>
  <c r="K4" i="5"/>
  <c r="K3" i="5"/>
  <c r="J3" i="5"/>
  <c r="J4" i="5"/>
  <c r="J5" i="5"/>
  <c r="I5" i="5"/>
  <c r="I4" i="5"/>
  <c r="I3" i="5"/>
  <c r="H5" i="5"/>
  <c r="H4" i="5"/>
  <c r="H3" i="5"/>
  <c r="G5" i="5"/>
  <c r="G4" i="5"/>
  <c r="G3" i="5"/>
  <c r="F5" i="5"/>
  <c r="F4" i="5"/>
  <c r="F3" i="5"/>
  <c r="E5" i="5"/>
  <c r="E4" i="5"/>
  <c r="K2" i="5"/>
  <c r="J2" i="5"/>
  <c r="I2" i="5"/>
  <c r="H2" i="5"/>
  <c r="G2" i="5"/>
  <c r="F2" i="5"/>
  <c r="EH2" i="5" l="1"/>
  <c r="Z2" i="5"/>
  <c r="Y2" i="5"/>
  <c r="C5" i="5" l="1"/>
  <c r="C4" i="5"/>
  <c r="C3" i="5"/>
  <c r="B5" i="5"/>
  <c r="B4" i="5"/>
  <c r="B3" i="5"/>
  <c r="BN5" i="5" l="1"/>
  <c r="IA2" i="5" l="1"/>
  <c r="HZ2" i="5"/>
  <c r="HY2" i="5"/>
  <c r="HX2" i="5"/>
  <c r="HW2" i="5"/>
  <c r="HV2" i="5"/>
  <c r="HU2" i="5"/>
  <c r="HT2" i="5"/>
  <c r="HS2" i="5"/>
  <c r="HR2" i="5"/>
  <c r="HQ2" i="5"/>
  <c r="HP2" i="5"/>
  <c r="HO2" i="5"/>
  <c r="HN2" i="5"/>
  <c r="HM2" i="5"/>
  <c r="HL2" i="5"/>
  <c r="HK2" i="5"/>
  <c r="HJ2" i="5"/>
  <c r="HI2" i="5"/>
  <c r="HH2" i="5"/>
  <c r="HG2" i="5"/>
  <c r="HF2" i="5"/>
  <c r="HE2" i="5"/>
  <c r="HD2" i="5"/>
  <c r="HC2" i="5"/>
  <c r="HB2" i="5"/>
  <c r="HA2" i="5"/>
  <c r="GZ2" i="5"/>
  <c r="GY2" i="5"/>
  <c r="GX2" i="5"/>
  <c r="GW2" i="5"/>
  <c r="GV2" i="5"/>
  <c r="GU2" i="5"/>
  <c r="GT2" i="5"/>
  <c r="GS2" i="5"/>
  <c r="GR2" i="5"/>
  <c r="GQ2" i="5"/>
  <c r="GP2" i="5"/>
  <c r="GO2" i="5"/>
  <c r="GN2" i="5"/>
  <c r="GM2" i="5"/>
  <c r="GL2" i="5"/>
  <c r="GK2" i="5"/>
  <c r="GJ2" i="5"/>
  <c r="GI2" i="5"/>
  <c r="GH2" i="5"/>
  <c r="GG2" i="5"/>
  <c r="GF2" i="5"/>
  <c r="GE2" i="5"/>
  <c r="GD2" i="5"/>
  <c r="GC2" i="5"/>
  <c r="GB2" i="5"/>
  <c r="GA2" i="5"/>
  <c r="FZ2" i="5"/>
  <c r="FY2" i="5"/>
  <c r="FX2" i="5"/>
  <c r="FQ2" i="5"/>
  <c r="FW2" i="5"/>
  <c r="FV2" i="5"/>
  <c r="FU2" i="5"/>
  <c r="FT2" i="5"/>
  <c r="FS2" i="5"/>
  <c r="FP2" i="5"/>
  <c r="FO2" i="5"/>
  <c r="FN2" i="5"/>
  <c r="FM2" i="5"/>
  <c r="FL2" i="5"/>
  <c r="FK2" i="5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R2" i="5"/>
  <c r="CX2" i="5"/>
  <c r="CW2" i="5"/>
  <c r="CV2" i="5"/>
  <c r="CU2" i="5"/>
  <c r="CT2" i="5"/>
  <c r="CS2" i="5"/>
  <c r="CQ2" i="5"/>
  <c r="CP2" i="5"/>
  <c r="CO2" i="5"/>
  <c r="CN2" i="5"/>
  <c r="CM2" i="5"/>
  <c r="CL2" i="5"/>
  <c r="CK2" i="5"/>
  <c r="CD2" i="5"/>
  <c r="CJ2" i="5"/>
  <c r="CI2" i="5"/>
  <c r="CH2" i="5"/>
  <c r="CG2" i="5"/>
  <c r="CF2" i="5"/>
  <c r="CE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X2" i="5"/>
  <c r="W2" i="5"/>
  <c r="V2" i="5"/>
  <c r="U2" i="5"/>
  <c r="T2" i="5"/>
  <c r="S2" i="5"/>
  <c r="R2" i="5"/>
  <c r="Q2" i="5"/>
  <c r="P2" i="5"/>
  <c r="O2" i="5"/>
  <c r="N2" i="5"/>
  <c r="M2" i="5"/>
</calcChain>
</file>

<file path=xl/sharedStrings.xml><?xml version="1.0" encoding="utf-8"?>
<sst xmlns="http://schemas.openxmlformats.org/spreadsheetml/2006/main" count="699" uniqueCount="326">
  <si>
    <t xml:space="preserve">NOM EMPRESA </t>
  </si>
  <si>
    <t>Codi</t>
  </si>
  <si>
    <t>Nom de l’indicador</t>
  </si>
  <si>
    <t>Unitat mesura</t>
  </si>
  <si>
    <t xml:space="preserve">Productivitat </t>
  </si>
  <si>
    <t>C001</t>
  </si>
  <si>
    <t>Nombre d’empreses que reben ajudes</t>
  </si>
  <si>
    <t xml:space="preserve">Empresa </t>
  </si>
  <si>
    <t>C002</t>
  </si>
  <si>
    <t>Nombre d’empreses que reben subvencions</t>
  </si>
  <si>
    <t>Empresa</t>
  </si>
  <si>
    <t>C006</t>
  </si>
  <si>
    <t xml:space="preserve">Inversió privada que acompanya a l’ajuda pública de les empreses </t>
  </si>
  <si>
    <t>Euros</t>
  </si>
  <si>
    <t>C026</t>
  </si>
  <si>
    <t xml:space="preserve">Nombre d'empreses que cooperen amb centres de recerca </t>
  </si>
  <si>
    <t>Nombre</t>
  </si>
  <si>
    <t>E021H</t>
  </si>
  <si>
    <t>Investigadors-any (homes) participant en el projecte</t>
  </si>
  <si>
    <t>Investigadors</t>
  </si>
  <si>
    <t>E021D</t>
  </si>
  <si>
    <t>Investigadores-any (dones) participant en el projecte</t>
  </si>
  <si>
    <t>Investigadores</t>
  </si>
  <si>
    <t>E021</t>
  </si>
  <si>
    <t>Investigadors-any (total) participant en el projecte</t>
  </si>
  <si>
    <t xml:space="preserve">Financer </t>
  </si>
  <si>
    <t>F002</t>
  </si>
  <si>
    <t>Import total de la despesa subvencionable anotada al sistema de l'Autoritat de Certificació i certificat segons art. 126.c de RDC</t>
  </si>
  <si>
    <t>RIS3-02</t>
  </si>
  <si>
    <t>Inversió pública en R+D+I</t>
  </si>
  <si>
    <t>RIS3-04</t>
  </si>
  <si>
    <t>Inversió privada en R+D+I</t>
  </si>
  <si>
    <t>RIS3-05</t>
  </si>
  <si>
    <t>Investigadors que participen en el projecte/total</t>
  </si>
  <si>
    <t>RIS3-05/1</t>
  </si>
  <si>
    <t>Investigadors que participen en el projecte/homes</t>
  </si>
  <si>
    <t>RIS3-05/2</t>
  </si>
  <si>
    <t>Investigadors que participen en el projecte/dones</t>
  </si>
  <si>
    <t>RIS3-06</t>
  </si>
  <si>
    <t>Empreses privades que participen en el projecte</t>
  </si>
  <si>
    <t>RIS3-07</t>
  </si>
  <si>
    <t>Empreses públiques que participen en el projecte</t>
  </si>
  <si>
    <t>RIS3-09</t>
  </si>
  <si>
    <t>Centres tecnològics que participen en el projecte com a subcontractats</t>
  </si>
  <si>
    <t>RIS3-11</t>
  </si>
  <si>
    <t>Universitats que participen en el projecte com a subcontractades</t>
  </si>
  <si>
    <t>RIS3-13</t>
  </si>
  <si>
    <t>Centres de recerca que participen en el projecte com a subcontractats</t>
  </si>
  <si>
    <t>RIS3-15</t>
  </si>
  <si>
    <t>Empreses que utilitzen o contracten les infraestructures i l'equipament cofinançats amb FEDER</t>
  </si>
  <si>
    <t>RIS3-17</t>
  </si>
  <si>
    <t>Empreses derivades (spin off) i altres empreses de base tecnològica creades en el marc del projecte</t>
  </si>
  <si>
    <t>RIS3-19</t>
  </si>
  <si>
    <t>Patents sol·licitades o registrades pels agents d'R+D+I i les empreses relacionades amb el projecte</t>
  </si>
  <si>
    <t>RIS3-21</t>
  </si>
  <si>
    <t>Marques creades o registrades pels agents d'R+D+I i les empreses en el marc  del projecte</t>
  </si>
  <si>
    <t>RIS3-23</t>
  </si>
  <si>
    <t xml:space="preserve">Empreses que innoven en el marc del projecte </t>
  </si>
  <si>
    <t>RIS3-25</t>
  </si>
  <si>
    <t>Llocs de treball creats vinculats amb el projecte</t>
  </si>
  <si>
    <t>RIS3-27</t>
  </si>
  <si>
    <t>Persones que reben formació en el marc dels projectes de RIS3CAT</t>
  </si>
  <si>
    <t>RIS3-29</t>
  </si>
  <si>
    <t>Empreses que incrementen els ingressos arran de la participació en el projecte</t>
  </si>
  <si>
    <t>RIS3-31</t>
  </si>
  <si>
    <t>Empreses que incrementen les exportacions arran de la participació en el projecte</t>
  </si>
  <si>
    <t>RIS3-33</t>
  </si>
  <si>
    <t>Empreses que tenen noves oportunitats de negoci en l'àmbit internacional arran de la participació en el projecte</t>
  </si>
  <si>
    <t>RIS3-35</t>
  </si>
  <si>
    <t>Empreses que incrementen la productivitat (redueixen costos) arran de la participació en el projecte</t>
  </si>
  <si>
    <t>RIS3-37</t>
  </si>
  <si>
    <t>Empreses que participen en el projecte i han introduït innovacions per reduir el consum d'aigua</t>
  </si>
  <si>
    <t>RIS3-39</t>
  </si>
  <si>
    <t>Empreses que participen en el projecte que han introduït innovacions per reduir el consum d'energia</t>
  </si>
  <si>
    <t>RIS3-41</t>
  </si>
  <si>
    <t>Empreses que participen en el projecte que han introduït innovacions per reduir les emissions de CO2</t>
  </si>
  <si>
    <t>RIS3-43</t>
  </si>
  <si>
    <t>Empreses que participen en el projecte que han introduït innovacions per reduir els residus (reciclatge i ecodisseny)</t>
  </si>
  <si>
    <t>&lt;codiexp&gt;</t>
  </si>
  <si>
    <t>&lt;nom&gt;</t>
  </si>
  <si>
    <t xml:space="preserve">NIF </t>
  </si>
  <si>
    <t xml:space="preserve">&lt;nif&gt; </t>
  </si>
  <si>
    <t xml:space="preserve">CODI EXPEDIENT </t>
  </si>
  <si>
    <t xml:space="preserve">CODI PARTICIPANT </t>
  </si>
  <si>
    <t xml:space="preserve"> JUSTIFICACIÓ</t>
  </si>
  <si>
    <t>Productivitat</t>
  </si>
  <si>
    <t>Justificació Parcial</t>
  </si>
  <si>
    <t xml:space="preserve">Justificació Total </t>
  </si>
  <si>
    <t xml:space="preserve">Justificació Parcial Final </t>
  </si>
  <si>
    <t>INDICADORS RIS3CAT</t>
  </si>
  <si>
    <t>INDICADORS FEDER</t>
  </si>
  <si>
    <t>INDICADORS DELS PROJECTES COFINANÇATS AMB FONS FEDER</t>
  </si>
  <si>
    <t>&lt;codiparticipant&gt;</t>
  </si>
  <si>
    <t xml:space="preserve">codi particpant </t>
  </si>
  <si>
    <t>CO01_2017</t>
  </si>
  <si>
    <t>CO01_2018</t>
  </si>
  <si>
    <t>CO01_2019</t>
  </si>
  <si>
    <t>CO01_2020</t>
  </si>
  <si>
    <t>CO01_2021</t>
  </si>
  <si>
    <t>CO01_2022</t>
  </si>
  <si>
    <t>CO01_2023</t>
  </si>
  <si>
    <t>CO02_2017</t>
  </si>
  <si>
    <t>CO02_2018</t>
  </si>
  <si>
    <t>CO02_2019</t>
  </si>
  <si>
    <t>CO02_2020</t>
  </si>
  <si>
    <t>CO02_2021</t>
  </si>
  <si>
    <t>CO02_2022</t>
  </si>
  <si>
    <t>CO02_2023</t>
  </si>
  <si>
    <t>CO06_2017</t>
  </si>
  <si>
    <t>CO06_2018</t>
  </si>
  <si>
    <t>CO06_2019</t>
  </si>
  <si>
    <t>CO06_2020</t>
  </si>
  <si>
    <t>CO06_2021</t>
  </si>
  <si>
    <t>CO06_2022</t>
  </si>
  <si>
    <t>CO06_2023</t>
  </si>
  <si>
    <t>CO26_2017</t>
  </si>
  <si>
    <t>CO26_2018</t>
  </si>
  <si>
    <t>CO26_2019</t>
  </si>
  <si>
    <t>CO26_2020</t>
  </si>
  <si>
    <t>CO26_2021</t>
  </si>
  <si>
    <t>CO26_2022</t>
  </si>
  <si>
    <t>CO26_2023</t>
  </si>
  <si>
    <t>E021H_2017</t>
  </si>
  <si>
    <t>E021H_2018</t>
  </si>
  <si>
    <t>E021H_2019</t>
  </si>
  <si>
    <t>E021H_2020</t>
  </si>
  <si>
    <t>E021H_2021</t>
  </si>
  <si>
    <t>E021H_2022</t>
  </si>
  <si>
    <t>E021H_2023</t>
  </si>
  <si>
    <t>E021D_2017</t>
  </si>
  <si>
    <t>E021D_2018</t>
  </si>
  <si>
    <t>E021D_2019</t>
  </si>
  <si>
    <t>E021D_2020</t>
  </si>
  <si>
    <t>E021D_2021</t>
  </si>
  <si>
    <t>E021D_2022</t>
  </si>
  <si>
    <t>E021D_2023</t>
  </si>
  <si>
    <t>E021_2017</t>
  </si>
  <si>
    <t>E021_2018</t>
  </si>
  <si>
    <t>E021_2019</t>
  </si>
  <si>
    <t>E021_2020</t>
  </si>
  <si>
    <t>E021_2021</t>
  </si>
  <si>
    <t>E021_2022</t>
  </si>
  <si>
    <t>E021_2023</t>
  </si>
  <si>
    <t>F002_2017</t>
  </si>
  <si>
    <t>F002_2018</t>
  </si>
  <si>
    <t>F002_2019</t>
  </si>
  <si>
    <t>F002_2020</t>
  </si>
  <si>
    <t>F002_2021</t>
  </si>
  <si>
    <t>F002_2022</t>
  </si>
  <si>
    <t>F002_2023</t>
  </si>
  <si>
    <t>RIS3-02_2017</t>
  </si>
  <si>
    <t>RIS3-02_2018</t>
  </si>
  <si>
    <t>RIS3-02_2019</t>
  </si>
  <si>
    <t>RIS3-02_2020</t>
  </si>
  <si>
    <t>RIS3-02_2021</t>
  </si>
  <si>
    <t>RIS3-02_2022</t>
  </si>
  <si>
    <t>RIS3-02_2023</t>
  </si>
  <si>
    <t>RIS3-04_2017</t>
  </si>
  <si>
    <t>RIS3-04_2018</t>
  </si>
  <si>
    <t>RIS3-04_2019</t>
  </si>
  <si>
    <t>RIS3-04_2020</t>
  </si>
  <si>
    <t>RIS3-04_2021</t>
  </si>
  <si>
    <t>RIS3-04_2022</t>
  </si>
  <si>
    <t>RIS3-04_2023</t>
  </si>
  <si>
    <t>RIS3-05_2017</t>
  </si>
  <si>
    <t>RIS3-05_2018</t>
  </si>
  <si>
    <t>RIS3-05_2019</t>
  </si>
  <si>
    <t>RIS3-05_2020</t>
  </si>
  <si>
    <t>RIS3-05_2021</t>
  </si>
  <si>
    <t>RIS3-05_2022</t>
  </si>
  <si>
    <t>RIS3-05_2023</t>
  </si>
  <si>
    <t>RIS3-05/1_2017</t>
  </si>
  <si>
    <t>RIS3-05/1_2018</t>
  </si>
  <si>
    <t>RIS3-05/1_2019</t>
  </si>
  <si>
    <t>RIS3-05/1_2020</t>
  </si>
  <si>
    <t>RIS3-05/1_2021</t>
  </si>
  <si>
    <t>RIS3-05/1_2022</t>
  </si>
  <si>
    <t>RIS3-05/1_2023</t>
  </si>
  <si>
    <t>RIS3-05/2_2017</t>
  </si>
  <si>
    <t>RIS3-05/2_2018</t>
  </si>
  <si>
    <t>RIS3-05/2_2019</t>
  </si>
  <si>
    <t>RIS3-05/2_2020</t>
  </si>
  <si>
    <t>RIS3-05/2_2021</t>
  </si>
  <si>
    <t>RIS3-05/2_2022</t>
  </si>
  <si>
    <t>RIS3-05/2_2023</t>
  </si>
  <si>
    <t>RIS3-06_2017</t>
  </si>
  <si>
    <t>RIS3-06_2018</t>
  </si>
  <si>
    <t>RIS3-06_2019</t>
  </si>
  <si>
    <t>RIS3-06_2020</t>
  </si>
  <si>
    <t>RIS3-06_2021</t>
  </si>
  <si>
    <t>RIS3-06_2022</t>
  </si>
  <si>
    <t>RIS3-06_2023</t>
  </si>
  <si>
    <t>RIS3-07_2017</t>
  </si>
  <si>
    <t>RIS3-07_2018</t>
  </si>
  <si>
    <t>RIS3-07_2019</t>
  </si>
  <si>
    <t>RIS3-07_2020</t>
  </si>
  <si>
    <t>RIS3-07_2021</t>
  </si>
  <si>
    <t>RIS3-07_2022</t>
  </si>
  <si>
    <t>RIS3-07_2023</t>
  </si>
  <si>
    <t>RIS3-09_2017</t>
  </si>
  <si>
    <t>RIS3-09_2018</t>
  </si>
  <si>
    <t>RIS3-09_2019</t>
  </si>
  <si>
    <t>RIS3-09_2020</t>
  </si>
  <si>
    <t>RIS3-09_2021</t>
  </si>
  <si>
    <t>RIS3-09_2022</t>
  </si>
  <si>
    <t>RIS3-09_2023</t>
  </si>
  <si>
    <t>RIS3-11_2017</t>
  </si>
  <si>
    <t>RIS3-11_2018</t>
  </si>
  <si>
    <t>RIS3-11_2019</t>
  </si>
  <si>
    <t>RIS3-11_2020</t>
  </si>
  <si>
    <t>RIS3-11_2021</t>
  </si>
  <si>
    <t>RIS3-11_2022</t>
  </si>
  <si>
    <t>RIS3-11_2023</t>
  </si>
  <si>
    <t>RIS3-13_2017</t>
  </si>
  <si>
    <t>RIS3-13_2018</t>
  </si>
  <si>
    <t>RIS3-13_2019</t>
  </si>
  <si>
    <t>RIS3-13_2020</t>
  </si>
  <si>
    <t>RIS3-13_2021</t>
  </si>
  <si>
    <t>RIS3-13_2022</t>
  </si>
  <si>
    <t>RIS3-13_2023</t>
  </si>
  <si>
    <t>RIS3-15_2017</t>
  </si>
  <si>
    <t>RIS3-15_2018</t>
  </si>
  <si>
    <t>RIS3-15_2019</t>
  </si>
  <si>
    <t>RIS3-15_2020</t>
  </si>
  <si>
    <t>RIS3-15_2021</t>
  </si>
  <si>
    <t>RIS3-15_2022</t>
  </si>
  <si>
    <t>RIS3-15_2023</t>
  </si>
  <si>
    <t>RIS3-17_2017</t>
  </si>
  <si>
    <t>RIS3-17_2018</t>
  </si>
  <si>
    <t>RIS3-17_2019</t>
  </si>
  <si>
    <t>RIS3-17_2020</t>
  </si>
  <si>
    <t>RIS3-17_2021</t>
  </si>
  <si>
    <t>RIS3-17_2022</t>
  </si>
  <si>
    <t>RIS3-17_2023</t>
  </si>
  <si>
    <t>RIS3-19_2017</t>
  </si>
  <si>
    <t>RIS3-19_2018</t>
  </si>
  <si>
    <t>RIS3-19_2019</t>
  </si>
  <si>
    <t>RIS3-19_2020</t>
  </si>
  <si>
    <t>RIS3-19_2021</t>
  </si>
  <si>
    <t>RIS3-19_2022</t>
  </si>
  <si>
    <t>RIS3-19_2023</t>
  </si>
  <si>
    <t>RIS3-21_2017</t>
  </si>
  <si>
    <t>RIS3-21_2018</t>
  </si>
  <si>
    <t>RIS3-21_2019</t>
  </si>
  <si>
    <t>RIS3-21_2020</t>
  </si>
  <si>
    <t>RIS3-21_2021</t>
  </si>
  <si>
    <t>RIS3-21_2022</t>
  </si>
  <si>
    <t>RIS3-21_2023</t>
  </si>
  <si>
    <t>RIS3-23_2017</t>
  </si>
  <si>
    <t>RIS3-23_2018</t>
  </si>
  <si>
    <t>RIS3-23_2019</t>
  </si>
  <si>
    <t>RIS3-23_2020</t>
  </si>
  <si>
    <t>RIS3-23_2021</t>
  </si>
  <si>
    <t>RIS3-23_2022</t>
  </si>
  <si>
    <t>RIS3-23_2023</t>
  </si>
  <si>
    <t>RIS3-25_2017</t>
  </si>
  <si>
    <t>RIS3-25_2018</t>
  </si>
  <si>
    <t>RIS3-25_2019</t>
  </si>
  <si>
    <t>RIS3-25_2020</t>
  </si>
  <si>
    <t>RIS3-25_2021</t>
  </si>
  <si>
    <t>RIS3-25_2022</t>
  </si>
  <si>
    <t>RIS3-25_2023</t>
  </si>
  <si>
    <t>RIS3-27_2017</t>
  </si>
  <si>
    <t>RIS3-27_2018</t>
  </si>
  <si>
    <t>RIS3-27_2019</t>
  </si>
  <si>
    <t>RIS3-27_2020</t>
  </si>
  <si>
    <t>RIS3-27_2021</t>
  </si>
  <si>
    <t>RIS3-27_2022</t>
  </si>
  <si>
    <t>RIS3-27_2023</t>
  </si>
  <si>
    <t>RIS3-29_2017</t>
  </si>
  <si>
    <t>RIS3-29_2018</t>
  </si>
  <si>
    <t>RIS3-29_2019</t>
  </si>
  <si>
    <t>RIS3-29_2020</t>
  </si>
  <si>
    <t>RIS3-29_2021</t>
  </si>
  <si>
    <t>RIS3-29_2022</t>
  </si>
  <si>
    <t>RIS3-29_2023</t>
  </si>
  <si>
    <t>RIS3-31_2017</t>
  </si>
  <si>
    <t>RIS3-31_2018</t>
  </si>
  <si>
    <t>RIS3-31_2019</t>
  </si>
  <si>
    <t>RIS3-31_2020</t>
  </si>
  <si>
    <t>RIS3-31_2021</t>
  </si>
  <si>
    <t>RIS3-31_2022</t>
  </si>
  <si>
    <t>RIS3-31_2023</t>
  </si>
  <si>
    <t>RIS3-33_2017</t>
  </si>
  <si>
    <t>RIS3-33_2018</t>
  </si>
  <si>
    <t>RIS3-33_2019</t>
  </si>
  <si>
    <t>RIS3-33_2020</t>
  </si>
  <si>
    <t>RIS3-33_2021</t>
  </si>
  <si>
    <t>RIS3-33_2022</t>
  </si>
  <si>
    <t>RIS3-33_2023</t>
  </si>
  <si>
    <t>RIS3-35_2017</t>
  </si>
  <si>
    <t>RIS3-35_2018</t>
  </si>
  <si>
    <t>RIS3-35_2019</t>
  </si>
  <si>
    <t>RIS3-35_2020</t>
  </si>
  <si>
    <t>RIS3-35_2021</t>
  </si>
  <si>
    <t>RIS3-35_2022</t>
  </si>
  <si>
    <t>RIS3-35_2023</t>
  </si>
  <si>
    <t>RIS3-37_2017</t>
  </si>
  <si>
    <t>RIS3-37_2018</t>
  </si>
  <si>
    <t>RIS3-37_2019</t>
  </si>
  <si>
    <t>RIS3-37_2020</t>
  </si>
  <si>
    <t>RIS3-37_2021</t>
  </si>
  <si>
    <t>RIS3-37_2022</t>
  </si>
  <si>
    <t>RIS3-37_2023</t>
  </si>
  <si>
    <t>RIS3-39_2017</t>
  </si>
  <si>
    <t>RIS3-39_2018</t>
  </si>
  <si>
    <t>RIS3-39_2019</t>
  </si>
  <si>
    <t>RIS3-39_2020</t>
  </si>
  <si>
    <t>RIS3-39_2021</t>
  </si>
  <si>
    <t>RIS3-39_2022</t>
  </si>
  <si>
    <t>RIS3-39_2023</t>
  </si>
  <si>
    <t>RIS3-41_2017</t>
  </si>
  <si>
    <t>RIS3-41_2018</t>
  </si>
  <si>
    <t>RIS3-41_2019</t>
  </si>
  <si>
    <t>RIS3-41_2020</t>
  </si>
  <si>
    <t>RIS3-41_2021</t>
  </si>
  <si>
    <t>RIS3-41_2022</t>
  </si>
  <si>
    <t>RIS3-41_2023</t>
  </si>
  <si>
    <t>RIS3-43_2017</t>
  </si>
  <si>
    <t>RIS3-43_2018</t>
  </si>
  <si>
    <t>RIS3-43_2019</t>
  </si>
  <si>
    <t>RIS3-43_2020</t>
  </si>
  <si>
    <t>RIS3-43_2021</t>
  </si>
  <si>
    <t>RIS3-43_2022</t>
  </si>
  <si>
    <t>RIS3-43_2023</t>
  </si>
  <si>
    <t>universitats que participen en el projecte com a subcontractades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</si>
</sst>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6949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8" applyNumberFormat="0" applyAlignment="0" applyProtection="0"/>
    <xf numFmtId="0" fontId="10" fillId="7" borderId="8" applyNumberFormat="0" applyAlignment="0" applyProtection="0"/>
    <xf numFmtId="0" fontId="11" fillId="8" borderId="9" applyNumberFormat="0" applyAlignment="0" applyProtection="0"/>
    <xf numFmtId="0" fontId="5" fillId="9" borderId="10" applyNumberFormat="0" applyFont="0" applyAlignment="0" applyProtection="0"/>
  </cellStyleXfs>
  <cellXfs count="132">
    <xf numFmtId="0" fontId="0" fillId="0" borderId="0" xfId="0"/>
    <xf numFmtId="0" fontId="0" fillId="9" borderId="10" xfId="7" applyFont="1"/>
    <xf numFmtId="0" fontId="6" fillId="3" borderId="0" xfId="1"/>
    <xf numFmtId="0" fontId="7" fillId="4" borderId="10" xfId="2" applyBorder="1"/>
    <xf numFmtId="0" fontId="7" fillId="9" borderId="10" xfId="7" applyFont="1"/>
    <xf numFmtId="0" fontId="10" fillId="7" borderId="8" xfId="5" applyAlignment="1"/>
    <xf numFmtId="0" fontId="8" fillId="5" borderId="11" xfId="3" applyBorder="1" applyAlignment="1"/>
    <xf numFmtId="0" fontId="6" fillId="3" borderId="11" xfId="1" applyBorder="1" applyAlignment="1"/>
    <xf numFmtId="0" fontId="9" fillId="6" borderId="8" xfId="4" applyAlignment="1"/>
    <xf numFmtId="0" fontId="7" fillId="4" borderId="8" xfId="2" applyBorder="1" applyAlignment="1"/>
    <xf numFmtId="0" fontId="8" fillId="5" borderId="8" xfId="3" applyBorder="1" applyAlignment="1"/>
    <xf numFmtId="0" fontId="6" fillId="3" borderId="8" xfId="1" applyBorder="1" applyAlignment="1"/>
    <xf numFmtId="0" fontId="11" fillId="8" borderId="9" xfId="6" applyAlignment="1"/>
    <xf numFmtId="0" fontId="7" fillId="4" borderId="9" xfId="2" applyBorder="1" applyAlignment="1"/>
    <xf numFmtId="0" fontId="6" fillId="3" borderId="9" xfId="1" applyBorder="1" applyAlignment="1"/>
    <xf numFmtId="0" fontId="7" fillId="4" borderId="0" xfId="2"/>
    <xf numFmtId="0" fontId="9" fillId="6" borderId="8" xfId="4"/>
    <xf numFmtId="0" fontId="13" fillId="0" borderId="0" xfId="0" applyFont="1"/>
    <xf numFmtId="0" fontId="13" fillId="0" borderId="0" xfId="0" applyFont="1" applyFill="1"/>
    <xf numFmtId="0" fontId="13" fillId="0" borderId="0" xfId="1" applyFont="1" applyFill="1"/>
    <xf numFmtId="0" fontId="0" fillId="0" borderId="5" xfId="0" applyBorder="1" applyAlignment="1" applyProtection="1">
      <alignment horizontal="left" wrapText="1"/>
      <protection locked="0"/>
    </xf>
    <xf numFmtId="0" fontId="0" fillId="0" borderId="0" xfId="0" applyFill="1"/>
    <xf numFmtId="2" fontId="13" fillId="0" borderId="14" xfId="0" applyNumberFormat="1" applyFont="1" applyFill="1" applyBorder="1" applyAlignment="1" applyProtection="1">
      <alignment horizontal="center" vertical="center"/>
      <protection locked="0"/>
    </xf>
    <xf numFmtId="2" fontId="13" fillId="0" borderId="13" xfId="0" applyNumberFormat="1" applyFont="1" applyFill="1" applyBorder="1" applyAlignment="1" applyProtection="1">
      <alignment horizontal="center" vertical="center"/>
      <protection locked="0"/>
    </xf>
    <xf numFmtId="2" fontId="13" fillId="0" borderId="14" xfId="3" applyNumberFormat="1" applyFont="1" applyFill="1" applyBorder="1" applyAlignment="1" applyProtection="1">
      <alignment horizontal="center" vertical="center"/>
      <protection locked="0"/>
    </xf>
    <xf numFmtId="2" fontId="13" fillId="0" borderId="13" xfId="3" applyNumberFormat="1" applyFont="1" applyFill="1" applyBorder="1" applyAlignment="1" applyProtection="1">
      <alignment horizontal="center" vertical="center"/>
      <protection locked="0"/>
    </xf>
    <xf numFmtId="2" fontId="13" fillId="0" borderId="14" xfId="1" applyNumberFormat="1" applyFont="1" applyFill="1" applyBorder="1" applyAlignment="1" applyProtection="1">
      <alignment horizontal="center" vertical="center"/>
      <protection locked="0"/>
    </xf>
    <xf numFmtId="2" fontId="13" fillId="0" borderId="13" xfId="1" applyNumberFormat="1" applyFont="1" applyFill="1" applyBorder="1" applyAlignment="1" applyProtection="1">
      <alignment horizontal="center" vertical="center"/>
      <protection locked="0"/>
    </xf>
    <xf numFmtId="2" fontId="13" fillId="0" borderId="14" xfId="2" applyNumberFormat="1" applyFont="1" applyFill="1" applyBorder="1" applyAlignment="1" applyProtection="1">
      <alignment horizontal="center" vertical="center"/>
      <protection locked="0"/>
    </xf>
    <xf numFmtId="2" fontId="13" fillId="0" borderId="13" xfId="2" applyNumberFormat="1" applyFont="1" applyFill="1" applyBorder="1" applyAlignment="1" applyProtection="1">
      <alignment horizontal="center" vertical="center"/>
      <protection locked="0"/>
    </xf>
    <xf numFmtId="2" fontId="13" fillId="0" borderId="14" xfId="7" applyNumberFormat="1" applyFont="1" applyFill="1" applyBorder="1" applyAlignment="1" applyProtection="1">
      <alignment horizontal="center" vertical="center"/>
      <protection locked="0"/>
    </xf>
    <xf numFmtId="2" fontId="13" fillId="0" borderId="13" xfId="7" applyNumberFormat="1" applyFont="1" applyFill="1" applyBorder="1" applyAlignment="1" applyProtection="1">
      <alignment horizontal="center" vertical="center"/>
      <protection locked="0"/>
    </xf>
    <xf numFmtId="2" fontId="13" fillId="0" borderId="14" xfId="4" applyNumberFormat="1" applyFont="1" applyFill="1" applyBorder="1" applyAlignment="1" applyProtection="1">
      <alignment horizontal="center" vertical="center"/>
      <protection locked="0"/>
    </xf>
    <xf numFmtId="2" fontId="13" fillId="0" borderId="13" xfId="4" applyNumberFormat="1" applyFont="1" applyFill="1" applyBorder="1" applyAlignment="1" applyProtection="1">
      <alignment horizontal="center" vertical="center"/>
      <protection locked="0"/>
    </xf>
    <xf numFmtId="2" fontId="13" fillId="0" borderId="14" xfId="0" applyNumberFormat="1" applyFont="1" applyBorder="1" applyAlignment="1" applyProtection="1">
      <alignment horizontal="center" wrapText="1"/>
      <protection locked="0"/>
    </xf>
    <xf numFmtId="2" fontId="13" fillId="0" borderId="13" xfId="0" applyNumberFormat="1" applyFont="1" applyBorder="1" applyAlignment="1" applyProtection="1">
      <alignment horizontal="center" wrapText="1"/>
      <protection locked="0"/>
    </xf>
    <xf numFmtId="2" fontId="13" fillId="0" borderId="14" xfId="0" applyNumberFormat="1" applyFont="1" applyFill="1" applyBorder="1" applyAlignment="1" applyProtection="1">
      <alignment horizontal="center" wrapText="1"/>
      <protection locked="0"/>
    </xf>
    <xf numFmtId="2" fontId="13" fillId="0" borderId="13" xfId="0" applyNumberFormat="1" applyFont="1" applyFill="1" applyBorder="1" applyAlignment="1" applyProtection="1">
      <alignment horizontal="center" wrapText="1"/>
      <protection locked="0"/>
    </xf>
    <xf numFmtId="2" fontId="13" fillId="0" borderId="14" xfId="1" applyNumberFormat="1" applyFont="1" applyFill="1" applyBorder="1" applyAlignment="1" applyProtection="1">
      <alignment horizontal="center" wrapText="1"/>
      <protection locked="0"/>
    </xf>
    <xf numFmtId="2" fontId="13" fillId="0" borderId="13" xfId="1" applyNumberFormat="1" applyFont="1" applyFill="1" applyBorder="1" applyAlignment="1" applyProtection="1">
      <alignment horizontal="center" wrapText="1"/>
      <protection locked="0"/>
    </xf>
    <xf numFmtId="2" fontId="13" fillId="0" borderId="14" xfId="2" applyNumberFormat="1" applyFont="1" applyFill="1" applyBorder="1" applyAlignment="1" applyProtection="1">
      <alignment horizontal="center" vertical="center" wrapText="1"/>
      <protection locked="0"/>
    </xf>
    <xf numFmtId="2" fontId="13" fillId="0" borderId="13" xfId="2" applyNumberFormat="1" applyFont="1" applyFill="1" applyBorder="1" applyAlignment="1" applyProtection="1">
      <alignment horizontal="center" vertical="center" wrapText="1"/>
      <protection locked="0"/>
    </xf>
    <xf numFmtId="2" fontId="13" fillId="0" borderId="14" xfId="4" applyNumberFormat="1" applyFont="1" applyFill="1" applyBorder="1" applyAlignment="1" applyProtection="1">
      <alignment horizontal="center" vertical="center" wrapText="1"/>
      <protection locked="0"/>
    </xf>
    <xf numFmtId="2" fontId="13" fillId="0" borderId="13" xfId="4" applyNumberFormat="1" applyFont="1" applyFill="1" applyBorder="1" applyAlignment="1" applyProtection="1">
      <alignment horizontal="center" vertical="center" wrapText="1"/>
      <protection locked="0"/>
    </xf>
    <xf numFmtId="2" fontId="13" fillId="0" borderId="14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13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14" xfId="3" applyNumberFormat="1" applyFont="1" applyFill="1" applyBorder="1" applyAlignment="1" applyProtection="1">
      <alignment horizontal="center" vertical="center" wrapText="1"/>
      <protection locked="0"/>
    </xf>
    <xf numFmtId="2" fontId="13" fillId="0" borderId="13" xfId="3" applyNumberFormat="1" applyFont="1" applyFill="1" applyBorder="1" applyAlignment="1" applyProtection="1">
      <alignment horizontal="center" vertical="center" wrapText="1"/>
      <protection locked="0"/>
    </xf>
    <xf numFmtId="2" fontId="13" fillId="0" borderId="14" xfId="7" applyNumberFormat="1" applyFont="1" applyFill="1" applyBorder="1" applyAlignment="1" applyProtection="1">
      <alignment horizontal="center" vertical="center" wrapText="1"/>
      <protection locked="0"/>
    </xf>
    <xf numFmtId="2" fontId="13" fillId="0" borderId="13" xfId="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Fill="1"/>
    <xf numFmtId="0" fontId="8" fillId="0" borderId="0" xfId="3" applyFill="1"/>
    <xf numFmtId="0" fontId="6" fillId="0" borderId="0" xfId="1" applyFill="1"/>
    <xf numFmtId="0" fontId="15" fillId="0" borderId="0" xfId="1" applyFont="1" applyFill="1"/>
    <xf numFmtId="0" fontId="9" fillId="0" borderId="8" xfId="4" applyFill="1"/>
    <xf numFmtId="0" fontId="13" fillId="0" borderId="10" xfId="7" applyFont="1" applyFill="1"/>
    <xf numFmtId="0" fontId="0" fillId="0" borderId="0" xfId="0" applyProtection="1"/>
    <xf numFmtId="0" fontId="0" fillId="11" borderId="0" xfId="0" applyFill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0" fillId="0" borderId="0" xfId="0" applyAlignment="1" applyProtection="1">
      <alignment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4" fillId="10" borderId="6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3" xfId="0" applyBorder="1" applyAlignment="1" applyProtection="1">
      <alignment horizontal="left" wrapText="1"/>
    </xf>
    <xf numFmtId="2" fontId="13" fillId="0" borderId="13" xfId="0" applyNumberFormat="1" applyFont="1" applyBorder="1" applyAlignment="1" applyProtection="1">
      <alignment horizontal="center" vertical="center"/>
      <protection locked="0"/>
    </xf>
    <xf numFmtId="2" fontId="13" fillId="0" borderId="14" xfId="0" applyNumberFormat="1" applyFont="1" applyBorder="1" applyAlignment="1" applyProtection="1">
      <alignment horizontal="center" vertical="center"/>
      <protection locked="0"/>
    </xf>
    <xf numFmtId="2" fontId="13" fillId="0" borderId="13" xfId="0" applyNumberFormat="1" applyFont="1" applyBorder="1" applyAlignment="1" applyProtection="1">
      <alignment horizontal="center" vertical="center" wrapText="1"/>
      <protection locked="0"/>
    </xf>
    <xf numFmtId="2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11" borderId="0" xfId="0" applyFont="1" applyFill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</xf>
    <xf numFmtId="2" fontId="13" fillId="0" borderId="13" xfId="0" applyNumberFormat="1" applyFont="1" applyBorder="1" applyAlignment="1" applyProtection="1">
      <alignment horizontal="center" vertical="center"/>
      <protection locked="0"/>
    </xf>
    <xf numFmtId="2" fontId="13" fillId="0" borderId="14" xfId="0" applyNumberFormat="1" applyFont="1" applyBorder="1" applyAlignment="1" applyProtection="1">
      <alignment horizontal="center" vertical="center"/>
      <protection locked="0"/>
    </xf>
    <xf numFmtId="2" fontId="13" fillId="0" borderId="13" xfId="0" applyNumberFormat="1" applyFont="1" applyBorder="1" applyAlignment="1" applyProtection="1">
      <alignment horizontal="center" vertical="center" wrapText="1"/>
      <protection locked="0"/>
    </xf>
    <xf numFmtId="2" fontId="13" fillId="0" borderId="14" xfId="0" applyNumberFormat="1" applyFont="1" applyBorder="1" applyAlignment="1" applyProtection="1">
      <alignment horizontal="center" vertical="center" wrapText="1"/>
      <protection locked="0"/>
    </xf>
    <xf numFmtId="2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2" fontId="13" fillId="0" borderId="18" xfId="0" applyNumberFormat="1" applyFont="1" applyBorder="1" applyAlignment="1" applyProtection="1">
      <alignment horizontal="center" vertical="center"/>
      <protection locked="0"/>
    </xf>
    <xf numFmtId="2" fontId="13" fillId="0" borderId="15" xfId="0" applyNumberFormat="1" applyFont="1" applyBorder="1" applyAlignment="1" applyProtection="1">
      <alignment horizontal="center" vertical="center"/>
      <protection locked="0"/>
    </xf>
    <xf numFmtId="2" fontId="13" fillId="0" borderId="19" xfId="0" applyNumberFormat="1" applyFont="1" applyBorder="1" applyAlignment="1" applyProtection="1">
      <alignment horizontal="center" vertical="center"/>
      <protection locked="0"/>
    </xf>
    <xf numFmtId="2" fontId="13" fillId="0" borderId="17" xfId="0" applyNumberFormat="1" applyFont="1" applyBorder="1" applyAlignment="1" applyProtection="1">
      <alignment horizontal="center" vertical="center"/>
      <protection locked="0"/>
    </xf>
    <xf numFmtId="2" fontId="13" fillId="0" borderId="20" xfId="0" applyNumberFormat="1" applyFont="1" applyBorder="1" applyAlignment="1" applyProtection="1">
      <alignment horizontal="center" vertical="center"/>
      <protection locked="0"/>
    </xf>
    <xf numFmtId="2" fontId="13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Protection="1"/>
    <xf numFmtId="0" fontId="0" fillId="0" borderId="7" xfId="0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4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5" xfId="0" applyBorder="1" applyAlignment="1" applyProtection="1">
      <alignment horizontal="left" wrapText="1"/>
      <protection hidden="1"/>
    </xf>
    <xf numFmtId="0" fontId="16" fillId="0" borderId="5" xfId="0" applyFont="1" applyBorder="1" applyAlignment="1" applyProtection="1">
      <alignment horizontal="left" wrapText="1"/>
      <protection hidden="1"/>
    </xf>
  </cellXfs>
  <cellStyles count="8">
    <cellStyle name="Bé" xfId="1" builtinId="26"/>
    <cellStyle name="Càlcul" xfId="5" builtinId="22"/>
    <cellStyle name="Cel·la de comprovació" xfId="6" builtinId="23"/>
    <cellStyle name="Entrada" xfId="4" builtinId="20"/>
    <cellStyle name="Incorrecte" xfId="2" builtinId="27"/>
    <cellStyle name="Neutral" xfId="3" builtinId="28"/>
    <cellStyle name="Normal" xfId="0" builtinId="0"/>
    <cellStyle name="Nota" xfId="7" builtinId="10"/>
  </cellStyles>
  <dxfs count="0"/>
  <tableStyles count="0" defaultTableStyle="TableStyleMedium2" defaultPivotStyle="PivotStyleLight16"/>
  <colors>
    <mruColors>
      <color rgb="FFE694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884464</xdr:colOff>
      <xdr:row>5</xdr:row>
      <xdr:rowOff>81645</xdr:rowOff>
    </xdr:from>
    <xdr:to>
      <xdr:col>8</xdr:col>
      <xdr:colOff>706209</xdr:colOff>
      <xdr:row>7</xdr:row>
      <xdr:rowOff>178255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3464" y="1455966"/>
          <a:ext cx="349567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925286</xdr:colOff>
      <xdr:row>1</xdr:row>
      <xdr:rowOff>122465</xdr:rowOff>
    </xdr:from>
    <xdr:to>
      <xdr:col>2</xdr:col>
      <xdr:colOff>106136</xdr:colOff>
      <xdr:row>3</xdr:row>
      <xdr:rowOff>29937</xdr:rowOff>
    </xdr:to>
    <xdr:pic>
      <xdr:nvPicPr>
        <xdr:cNvPr id="5" name="Imagen 5" descr="\\sfi03\usuaris\mtduran\Escritorio\Sin título-2-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286" y="394608"/>
          <a:ext cx="1562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40822</xdr:colOff>
      <xdr:row>4</xdr:row>
      <xdr:rowOff>27214</xdr:rowOff>
    </xdr:from>
    <xdr:to>
      <xdr:col>6</xdr:col>
      <xdr:colOff>556531</xdr:colOff>
      <xdr:row>6</xdr:row>
      <xdr:rowOff>83004</xdr:rowOff>
    </xdr:to>
    <xdr:pic>
      <xdr:nvPicPr>
        <xdr:cNvPr id="3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1" y="762000"/>
          <a:ext cx="3495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1183821</xdr:colOff>
      <xdr:row>1</xdr:row>
      <xdr:rowOff>122464</xdr:rowOff>
    </xdr:from>
    <xdr:to>
      <xdr:col>2</xdr:col>
      <xdr:colOff>106135</xdr:colOff>
      <xdr:row>3</xdr:row>
      <xdr:rowOff>43543</xdr:rowOff>
    </xdr:to>
    <xdr:pic>
      <xdr:nvPicPr>
        <xdr:cNvPr id="5" name="Imagen 5" descr="\\sfi03\usuaris\mtduran\Escritorio\Sin título-2-1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1" y="312964"/>
          <a:ext cx="1562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81642</xdr:colOff>
      <xdr:row>4</xdr:row>
      <xdr:rowOff>0</xdr:rowOff>
    </xdr:from>
    <xdr:to>
      <xdr:col>6</xdr:col>
      <xdr:colOff>665389</xdr:colOff>
      <xdr:row>6</xdr:row>
      <xdr:rowOff>55790</xdr:rowOff>
    </xdr:to>
    <xdr:pic>
      <xdr:nvPicPr>
        <xdr:cNvPr id="4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3178" y="1129393"/>
          <a:ext cx="3495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993322</xdr:colOff>
      <xdr:row>1</xdr:row>
      <xdr:rowOff>108857</xdr:rowOff>
    </xdr:from>
    <xdr:to>
      <xdr:col>2</xdr:col>
      <xdr:colOff>78922</xdr:colOff>
      <xdr:row>3</xdr:row>
      <xdr:rowOff>29936</xdr:rowOff>
    </xdr:to>
    <xdr:pic>
      <xdr:nvPicPr>
        <xdr:cNvPr id="5" name="Imagen 5" descr="\\sfi03\usuaris\mtduran\Escritorio\Sin título-2-1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322" y="299357"/>
          <a:ext cx="1562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54430</xdr:colOff>
      <xdr:row>4</xdr:row>
      <xdr:rowOff>0</xdr:rowOff>
    </xdr:from>
    <xdr:to>
      <xdr:col>6</xdr:col>
      <xdr:colOff>651783</xdr:colOff>
      <xdr:row>6</xdr:row>
      <xdr:rowOff>35380</xdr:rowOff>
    </xdr:to>
    <xdr:pic>
      <xdr:nvPicPr>
        <xdr:cNvPr id="4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1" y="1061357"/>
          <a:ext cx="3495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1034143</xdr:colOff>
      <xdr:row>1</xdr:row>
      <xdr:rowOff>176893</xdr:rowOff>
    </xdr:from>
    <xdr:to>
      <xdr:col>2</xdr:col>
      <xdr:colOff>78922</xdr:colOff>
      <xdr:row>3</xdr:row>
      <xdr:rowOff>125186</xdr:rowOff>
    </xdr:to>
    <xdr:pic>
      <xdr:nvPicPr>
        <xdr:cNvPr id="5" name="Imagen 5" descr="\\sfi03\usuaris\mtduran\Escritorio\Sin título-2-1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43" y="367393"/>
          <a:ext cx="1562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56"/>
  <sheetViews>
    <sheetView tabSelected="1" zoomScale="70" zoomScaleNormal="70" workbookViewId="0">
      <selection activeCell="C23" sqref="C23:C24"/>
    </sheetView>
  </sheetViews>
  <sheetFormatPr defaultColWidth="11.42578125" defaultRowHeight="15" x14ac:dyDescent="0.25"/>
  <cols>
    <col min="1" max="1" width="15" style="56" customWidth="1"/>
    <col min="2" max="2" width="20.5703125" style="56" customWidth="1"/>
    <col min="3" max="3" width="112.5703125" style="60" customWidth="1"/>
    <col min="4" max="4" width="17.42578125" style="56" customWidth="1"/>
    <col min="5" max="5" width="13.5703125" style="56" customWidth="1"/>
    <col min="6" max="7" width="13.85546875" style="56" customWidth="1"/>
    <col min="8" max="8" width="13.7109375" style="56" customWidth="1"/>
    <col min="9" max="9" width="13.85546875" style="56" customWidth="1"/>
    <col min="10" max="10" width="13.7109375" style="56" customWidth="1"/>
    <col min="11" max="11" width="13.85546875" style="56" customWidth="1"/>
    <col min="12" max="52" width="11.42578125" style="56"/>
    <col min="53" max="53" width="0" style="56" hidden="1" customWidth="1"/>
    <col min="54" max="16384" width="11.42578125" style="56"/>
  </cols>
  <sheetData>
    <row r="1" spans="1:53" ht="21" customHeight="1" x14ac:dyDescent="0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53" ht="13.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53" ht="35.25" customHeight="1" x14ac:dyDescent="0.4">
      <c r="A3" s="57"/>
      <c r="B3" s="57"/>
      <c r="C3" s="85" t="s">
        <v>91</v>
      </c>
      <c r="D3" s="85"/>
      <c r="E3" s="85"/>
      <c r="F3" s="85"/>
      <c r="G3" s="85"/>
      <c r="H3" s="57"/>
      <c r="I3" s="57"/>
      <c r="J3" s="57"/>
      <c r="K3" s="57"/>
    </row>
    <row r="4" spans="1:53" s="87" customFormat="1" ht="21" customHeight="1" thickBot="1" x14ac:dyDescent="0.3"/>
    <row r="5" spans="1:53" ht="16.5" thickBot="1" x14ac:dyDescent="0.3">
      <c r="B5" s="58" t="s">
        <v>82</v>
      </c>
      <c r="C5" s="103"/>
    </row>
    <row r="6" spans="1:53" ht="16.5" thickBot="1" x14ac:dyDescent="0.3">
      <c r="B6" s="58" t="s">
        <v>83</v>
      </c>
      <c r="C6" s="130" t="str">
        <f>+CONCATENATE(codiexp1,"-00")</f>
        <v>-00</v>
      </c>
    </row>
    <row r="7" spans="1:53" ht="16.5" thickBot="1" x14ac:dyDescent="0.3">
      <c r="B7" s="58" t="s">
        <v>0</v>
      </c>
      <c r="C7" s="104"/>
    </row>
    <row r="8" spans="1:53" ht="16.5" thickBot="1" x14ac:dyDescent="0.3">
      <c r="B8" s="58" t="s">
        <v>80</v>
      </c>
      <c r="C8" s="20"/>
    </row>
    <row r="9" spans="1:53" ht="16.5" thickBot="1" x14ac:dyDescent="0.3">
      <c r="B9" s="58" t="s">
        <v>84</v>
      </c>
      <c r="C9" s="105"/>
    </row>
    <row r="10" spans="1:53" x14ac:dyDescent="0.25">
      <c r="B10" s="59"/>
    </row>
    <row r="11" spans="1:53" ht="15.75" thickBot="1" x14ac:dyDescent="0.3"/>
    <row r="12" spans="1:53" ht="32.25" thickBot="1" x14ac:dyDescent="0.3">
      <c r="A12" s="58" t="s">
        <v>90</v>
      </c>
      <c r="B12" s="58" t="s">
        <v>1</v>
      </c>
      <c r="C12" s="61" t="s">
        <v>2</v>
      </c>
      <c r="D12" s="61" t="s">
        <v>3</v>
      </c>
      <c r="E12" s="62">
        <v>2017</v>
      </c>
      <c r="F12" s="62">
        <v>2018</v>
      </c>
      <c r="G12" s="62">
        <v>2019</v>
      </c>
      <c r="H12" s="62">
        <v>2020</v>
      </c>
      <c r="I12" s="62">
        <v>2021</v>
      </c>
      <c r="J12" s="62">
        <v>2022</v>
      </c>
      <c r="K12" s="62">
        <v>2023</v>
      </c>
      <c r="BA12" s="56" t="s">
        <v>86</v>
      </c>
    </row>
    <row r="13" spans="1:53" x14ac:dyDescent="0.25">
      <c r="A13" s="88" t="s">
        <v>4</v>
      </c>
      <c r="B13" s="94" t="s">
        <v>5</v>
      </c>
      <c r="C13" s="90" t="s">
        <v>6</v>
      </c>
      <c r="D13" s="90" t="s">
        <v>7</v>
      </c>
      <c r="E13" s="98"/>
      <c r="F13" s="97"/>
      <c r="G13" s="97"/>
      <c r="H13" s="97"/>
      <c r="I13" s="97"/>
      <c r="J13" s="97"/>
      <c r="K13" s="97"/>
      <c r="L13" s="63"/>
      <c r="BA13" s="56" t="s">
        <v>88</v>
      </c>
    </row>
    <row r="14" spans="1:53" ht="15.75" thickBot="1" x14ac:dyDescent="0.3">
      <c r="A14" s="96"/>
      <c r="B14" s="95"/>
      <c r="C14" s="91"/>
      <c r="D14" s="91"/>
      <c r="E14" s="98"/>
      <c r="F14" s="97"/>
      <c r="G14" s="97"/>
      <c r="H14" s="97"/>
      <c r="I14" s="97"/>
      <c r="J14" s="97"/>
      <c r="K14" s="97"/>
      <c r="L14" s="63"/>
      <c r="BA14" s="56" t="s">
        <v>87</v>
      </c>
    </row>
    <row r="15" spans="1:53" x14ac:dyDescent="0.25">
      <c r="A15" s="96"/>
      <c r="B15" s="92" t="s">
        <v>8</v>
      </c>
      <c r="C15" s="90" t="s">
        <v>325</v>
      </c>
      <c r="D15" s="90" t="s">
        <v>10</v>
      </c>
      <c r="E15" s="106"/>
      <c r="F15" s="107"/>
      <c r="G15" s="97"/>
      <c r="H15" s="97"/>
      <c r="I15" s="97"/>
      <c r="J15" s="97"/>
      <c r="K15" s="97"/>
      <c r="L15" s="63"/>
    </row>
    <row r="16" spans="1:53" ht="15.75" thickBot="1" x14ac:dyDescent="0.3">
      <c r="A16" s="96"/>
      <c r="B16" s="93"/>
      <c r="C16" s="91"/>
      <c r="D16" s="91"/>
      <c r="E16" s="108"/>
      <c r="F16" s="109"/>
      <c r="G16" s="97"/>
      <c r="H16" s="97"/>
      <c r="I16" s="97"/>
      <c r="J16" s="97"/>
      <c r="K16" s="97"/>
      <c r="L16" s="63"/>
    </row>
    <row r="17" spans="1:12" x14ac:dyDescent="0.25">
      <c r="A17" s="96"/>
      <c r="B17" s="94" t="s">
        <v>11</v>
      </c>
      <c r="C17" s="90" t="s">
        <v>12</v>
      </c>
      <c r="D17" s="90" t="s">
        <v>13</v>
      </c>
      <c r="E17" s="106"/>
      <c r="F17" s="107"/>
      <c r="G17" s="97"/>
      <c r="H17" s="97"/>
      <c r="I17" s="97"/>
      <c r="J17" s="97"/>
      <c r="K17" s="97"/>
      <c r="L17" s="63"/>
    </row>
    <row r="18" spans="1:12" ht="15.75" thickBot="1" x14ac:dyDescent="0.3">
      <c r="A18" s="96"/>
      <c r="B18" s="95"/>
      <c r="C18" s="91"/>
      <c r="D18" s="91"/>
      <c r="E18" s="108"/>
      <c r="F18" s="109"/>
      <c r="G18" s="97"/>
      <c r="H18" s="97"/>
      <c r="I18" s="97"/>
      <c r="J18" s="97"/>
      <c r="K18" s="97"/>
      <c r="L18" s="63"/>
    </row>
    <row r="19" spans="1:12" x14ac:dyDescent="0.25">
      <c r="A19" s="96"/>
      <c r="B19" s="94" t="s">
        <v>14</v>
      </c>
      <c r="C19" s="90" t="s">
        <v>15</v>
      </c>
      <c r="D19" s="90" t="s">
        <v>16</v>
      </c>
      <c r="E19" s="106"/>
      <c r="F19" s="107"/>
      <c r="G19" s="97"/>
      <c r="H19" s="97"/>
      <c r="I19" s="97"/>
      <c r="J19" s="97"/>
      <c r="K19" s="97"/>
      <c r="L19" s="63"/>
    </row>
    <row r="20" spans="1:12" ht="15.75" thickBot="1" x14ac:dyDescent="0.3">
      <c r="A20" s="96"/>
      <c r="B20" s="95"/>
      <c r="C20" s="91"/>
      <c r="D20" s="91"/>
      <c r="E20" s="108"/>
      <c r="F20" s="109"/>
      <c r="G20" s="97"/>
      <c r="H20" s="97"/>
      <c r="I20" s="97"/>
      <c r="J20" s="97"/>
      <c r="K20" s="97"/>
      <c r="L20" s="63"/>
    </row>
    <row r="21" spans="1:12" x14ac:dyDescent="0.25">
      <c r="A21" s="96"/>
      <c r="B21" s="94" t="s">
        <v>17</v>
      </c>
      <c r="C21" s="90" t="s">
        <v>18</v>
      </c>
      <c r="D21" s="90" t="s">
        <v>19</v>
      </c>
      <c r="E21" s="106"/>
      <c r="F21" s="107"/>
      <c r="G21" s="97"/>
      <c r="H21" s="97"/>
      <c r="I21" s="97"/>
      <c r="J21" s="97"/>
      <c r="K21" s="97"/>
      <c r="L21" s="63"/>
    </row>
    <row r="22" spans="1:12" ht="15.75" thickBot="1" x14ac:dyDescent="0.3">
      <c r="A22" s="96"/>
      <c r="B22" s="95"/>
      <c r="C22" s="91"/>
      <c r="D22" s="91"/>
      <c r="E22" s="108"/>
      <c r="F22" s="109"/>
      <c r="G22" s="97"/>
      <c r="H22" s="97"/>
      <c r="I22" s="97"/>
      <c r="J22" s="97"/>
      <c r="K22" s="97"/>
      <c r="L22" s="63"/>
    </row>
    <row r="23" spans="1:12" x14ac:dyDescent="0.25">
      <c r="A23" s="96"/>
      <c r="B23" s="94" t="s">
        <v>20</v>
      </c>
      <c r="C23" s="90" t="s">
        <v>21</v>
      </c>
      <c r="D23" s="90" t="s">
        <v>22</v>
      </c>
      <c r="E23" s="106"/>
      <c r="F23" s="107"/>
      <c r="G23" s="97"/>
      <c r="H23" s="97"/>
      <c r="I23" s="97"/>
      <c r="J23" s="97"/>
      <c r="K23" s="97"/>
      <c r="L23" s="63"/>
    </row>
    <row r="24" spans="1:12" ht="15.75" thickBot="1" x14ac:dyDescent="0.3">
      <c r="A24" s="96"/>
      <c r="B24" s="95"/>
      <c r="C24" s="91"/>
      <c r="D24" s="91"/>
      <c r="E24" s="108"/>
      <c r="F24" s="109"/>
      <c r="G24" s="97"/>
      <c r="H24" s="97"/>
      <c r="I24" s="97"/>
      <c r="J24" s="97"/>
      <c r="K24" s="97"/>
      <c r="L24" s="63"/>
    </row>
    <row r="25" spans="1:12" x14ac:dyDescent="0.25">
      <c r="A25" s="96"/>
      <c r="B25" s="92" t="s">
        <v>23</v>
      </c>
      <c r="C25" s="90" t="s">
        <v>24</v>
      </c>
      <c r="D25" s="90" t="s">
        <v>19</v>
      </c>
      <c r="E25" s="106"/>
      <c r="F25" s="107"/>
      <c r="G25" s="97"/>
      <c r="H25" s="97"/>
      <c r="I25" s="97"/>
      <c r="J25" s="97"/>
      <c r="K25" s="97"/>
      <c r="L25" s="63"/>
    </row>
    <row r="26" spans="1:12" ht="15.75" thickBot="1" x14ac:dyDescent="0.3">
      <c r="A26" s="89"/>
      <c r="B26" s="93"/>
      <c r="C26" s="91"/>
      <c r="D26" s="91"/>
      <c r="E26" s="108"/>
      <c r="F26" s="109"/>
      <c r="G26" s="97"/>
      <c r="H26" s="97"/>
      <c r="I26" s="97"/>
      <c r="J26" s="97"/>
      <c r="K26" s="97"/>
      <c r="L26" s="63"/>
    </row>
    <row r="27" spans="1:12" x14ac:dyDescent="0.25">
      <c r="A27" s="88" t="s">
        <v>25</v>
      </c>
      <c r="B27" s="90" t="s">
        <v>26</v>
      </c>
      <c r="C27" s="90" t="s">
        <v>27</v>
      </c>
      <c r="D27" s="90" t="s">
        <v>13</v>
      </c>
      <c r="E27" s="106"/>
      <c r="F27" s="107"/>
      <c r="G27" s="97"/>
      <c r="H27" s="97"/>
      <c r="I27" s="97"/>
      <c r="J27" s="97"/>
      <c r="K27" s="97"/>
      <c r="L27" s="63"/>
    </row>
    <row r="28" spans="1:12" ht="23.25" customHeight="1" thickBot="1" x14ac:dyDescent="0.3">
      <c r="A28" s="89"/>
      <c r="B28" s="91"/>
      <c r="C28" s="91"/>
      <c r="D28" s="91"/>
      <c r="E28" s="110"/>
      <c r="F28" s="111"/>
      <c r="G28" s="97"/>
      <c r="H28" s="97"/>
      <c r="I28" s="97"/>
      <c r="J28" s="97"/>
      <c r="K28" s="97"/>
      <c r="L28" s="63"/>
    </row>
    <row r="29" spans="1:12" ht="32.25" thickBot="1" x14ac:dyDescent="0.3">
      <c r="A29" s="58" t="s">
        <v>89</v>
      </c>
      <c r="B29" s="58" t="s">
        <v>1</v>
      </c>
      <c r="C29" s="61" t="s">
        <v>2</v>
      </c>
      <c r="D29" s="61" t="s">
        <v>3</v>
      </c>
      <c r="E29" s="62">
        <v>2017</v>
      </c>
      <c r="F29" s="62">
        <v>2018</v>
      </c>
      <c r="G29" s="62">
        <v>2019</v>
      </c>
      <c r="H29" s="62">
        <v>2020</v>
      </c>
      <c r="I29" s="62">
        <v>2021</v>
      </c>
      <c r="J29" s="62">
        <v>2022</v>
      </c>
      <c r="K29" s="62">
        <v>2023</v>
      </c>
      <c r="L29" s="63"/>
    </row>
    <row r="30" spans="1:12" ht="26.25" customHeight="1" thickBot="1" x14ac:dyDescent="0.3">
      <c r="B30" s="64" t="s">
        <v>28</v>
      </c>
      <c r="C30" s="65" t="s">
        <v>29</v>
      </c>
      <c r="D30" s="66" t="s">
        <v>13</v>
      </c>
      <c r="E30" s="81"/>
      <c r="F30" s="80"/>
      <c r="G30" s="80"/>
      <c r="H30" s="80"/>
      <c r="I30" s="80"/>
      <c r="J30" s="80"/>
      <c r="K30" s="80"/>
      <c r="L30" s="63"/>
    </row>
    <row r="31" spans="1:12" ht="28.5" customHeight="1" thickBot="1" x14ac:dyDescent="0.3">
      <c r="B31" s="67" t="s">
        <v>30</v>
      </c>
      <c r="C31" s="68" t="s">
        <v>31</v>
      </c>
      <c r="D31" s="69" t="s">
        <v>13</v>
      </c>
      <c r="E31" s="81"/>
      <c r="F31" s="80"/>
      <c r="G31" s="80"/>
      <c r="H31" s="80"/>
      <c r="I31" s="80"/>
      <c r="J31" s="80"/>
      <c r="K31" s="80"/>
      <c r="L31" s="63"/>
    </row>
    <row r="32" spans="1:12" ht="26.25" customHeight="1" thickBot="1" x14ac:dyDescent="0.3">
      <c r="B32" s="67" t="s">
        <v>32</v>
      </c>
      <c r="C32" s="68" t="s">
        <v>33</v>
      </c>
      <c r="D32" s="69" t="s">
        <v>16</v>
      </c>
      <c r="E32" s="81"/>
      <c r="F32" s="80"/>
      <c r="G32" s="80"/>
      <c r="H32" s="80"/>
      <c r="I32" s="80"/>
      <c r="J32" s="80"/>
      <c r="K32" s="80"/>
      <c r="L32" s="63"/>
    </row>
    <row r="33" spans="2:12" ht="26.25" customHeight="1" thickBot="1" x14ac:dyDescent="0.3">
      <c r="B33" s="70" t="s">
        <v>34</v>
      </c>
      <c r="C33" s="68" t="s">
        <v>35</v>
      </c>
      <c r="D33" s="69" t="s">
        <v>16</v>
      </c>
      <c r="E33" s="81"/>
      <c r="F33" s="80"/>
      <c r="G33" s="80"/>
      <c r="H33" s="80"/>
      <c r="I33" s="80"/>
      <c r="J33" s="80"/>
      <c r="K33" s="80"/>
      <c r="L33" s="63"/>
    </row>
    <row r="34" spans="2:12" ht="26.25" customHeight="1" thickBot="1" x14ac:dyDescent="0.3">
      <c r="B34" s="70" t="s">
        <v>36</v>
      </c>
      <c r="C34" s="68" t="s">
        <v>37</v>
      </c>
      <c r="D34" s="69" t="s">
        <v>16</v>
      </c>
      <c r="E34" s="81"/>
      <c r="F34" s="80"/>
      <c r="G34" s="80"/>
      <c r="H34" s="80"/>
      <c r="I34" s="80"/>
      <c r="J34" s="80"/>
      <c r="K34" s="80"/>
      <c r="L34" s="63"/>
    </row>
    <row r="35" spans="2:12" ht="26.25" customHeight="1" thickBot="1" x14ac:dyDescent="0.3">
      <c r="B35" s="70" t="s">
        <v>38</v>
      </c>
      <c r="C35" s="71" t="s">
        <v>39</v>
      </c>
      <c r="D35" s="69" t="s">
        <v>16</v>
      </c>
      <c r="E35" s="81"/>
      <c r="F35" s="80"/>
      <c r="G35" s="80"/>
      <c r="H35" s="80"/>
      <c r="I35" s="80"/>
      <c r="J35" s="80"/>
      <c r="K35" s="80"/>
      <c r="L35" s="63"/>
    </row>
    <row r="36" spans="2:12" ht="26.25" customHeight="1" thickBot="1" x14ac:dyDescent="0.3">
      <c r="B36" s="70" t="s">
        <v>40</v>
      </c>
      <c r="C36" s="71" t="s">
        <v>41</v>
      </c>
      <c r="D36" s="69" t="s">
        <v>16</v>
      </c>
      <c r="E36" s="81"/>
      <c r="F36" s="80"/>
      <c r="G36" s="80"/>
      <c r="H36" s="80"/>
      <c r="I36" s="80"/>
      <c r="J36" s="80"/>
      <c r="K36" s="80"/>
      <c r="L36" s="63"/>
    </row>
    <row r="37" spans="2:12" ht="26.25" customHeight="1" thickBot="1" x14ac:dyDescent="0.3">
      <c r="B37" s="70" t="s">
        <v>42</v>
      </c>
      <c r="C37" s="68" t="s">
        <v>43</v>
      </c>
      <c r="D37" s="72" t="s">
        <v>16</v>
      </c>
      <c r="E37" s="81"/>
      <c r="F37" s="80"/>
      <c r="G37" s="80"/>
      <c r="H37" s="80"/>
      <c r="I37" s="80"/>
      <c r="J37" s="80"/>
      <c r="K37" s="80"/>
      <c r="L37" s="63"/>
    </row>
    <row r="38" spans="2:12" ht="26.25" customHeight="1" thickBot="1" x14ac:dyDescent="0.3">
      <c r="B38" s="70" t="s">
        <v>44</v>
      </c>
      <c r="C38" s="68" t="s">
        <v>45</v>
      </c>
      <c r="D38" s="73" t="s">
        <v>16</v>
      </c>
      <c r="E38" s="81"/>
      <c r="F38" s="80"/>
      <c r="G38" s="80"/>
      <c r="H38" s="80"/>
      <c r="I38" s="80"/>
      <c r="J38" s="80"/>
      <c r="K38" s="80"/>
      <c r="L38" s="63"/>
    </row>
    <row r="39" spans="2:12" ht="26.25" customHeight="1" thickBot="1" x14ac:dyDescent="0.3">
      <c r="B39" s="70" t="s">
        <v>46</v>
      </c>
      <c r="C39" s="68" t="s">
        <v>47</v>
      </c>
      <c r="D39" s="72" t="s">
        <v>16</v>
      </c>
      <c r="E39" s="81"/>
      <c r="F39" s="80"/>
      <c r="G39" s="80"/>
      <c r="H39" s="80"/>
      <c r="I39" s="80"/>
      <c r="J39" s="80"/>
      <c r="K39" s="80"/>
      <c r="L39" s="63"/>
    </row>
    <row r="40" spans="2:12" ht="26.25" customHeight="1" thickBot="1" x14ac:dyDescent="0.3">
      <c r="B40" s="70" t="s">
        <v>48</v>
      </c>
      <c r="C40" s="68" t="s">
        <v>49</v>
      </c>
      <c r="D40" s="74" t="s">
        <v>16</v>
      </c>
      <c r="E40" s="81"/>
      <c r="F40" s="80"/>
      <c r="G40" s="80"/>
      <c r="H40" s="80"/>
      <c r="I40" s="80"/>
      <c r="J40" s="80"/>
      <c r="K40" s="80"/>
      <c r="L40" s="63"/>
    </row>
    <row r="41" spans="2:12" ht="26.25" customHeight="1" thickBot="1" x14ac:dyDescent="0.3">
      <c r="B41" s="70" t="s">
        <v>50</v>
      </c>
      <c r="C41" s="68" t="s">
        <v>51</v>
      </c>
      <c r="D41" s="74" t="s">
        <v>16</v>
      </c>
      <c r="E41" s="81"/>
      <c r="F41" s="80"/>
      <c r="G41" s="80"/>
      <c r="H41" s="80"/>
      <c r="I41" s="80"/>
      <c r="J41" s="80"/>
      <c r="K41" s="80"/>
      <c r="L41" s="63"/>
    </row>
    <row r="42" spans="2:12" ht="26.25" customHeight="1" thickBot="1" x14ac:dyDescent="0.3">
      <c r="B42" s="70" t="s">
        <v>52</v>
      </c>
      <c r="C42" s="68" t="s">
        <v>53</v>
      </c>
      <c r="D42" s="72" t="s">
        <v>16</v>
      </c>
      <c r="E42" s="81"/>
      <c r="F42" s="80"/>
      <c r="G42" s="80"/>
      <c r="H42" s="80"/>
      <c r="I42" s="80"/>
      <c r="J42" s="80"/>
      <c r="K42" s="80"/>
      <c r="L42" s="63"/>
    </row>
    <row r="43" spans="2:12" ht="26.25" customHeight="1" thickBot="1" x14ac:dyDescent="0.3">
      <c r="B43" s="70" t="s">
        <v>54</v>
      </c>
      <c r="C43" s="68" t="s">
        <v>55</v>
      </c>
      <c r="D43" s="72" t="s">
        <v>16</v>
      </c>
      <c r="E43" s="81"/>
      <c r="F43" s="80"/>
      <c r="G43" s="80"/>
      <c r="H43" s="80"/>
      <c r="I43" s="80"/>
      <c r="J43" s="80"/>
      <c r="K43" s="80"/>
      <c r="L43" s="63"/>
    </row>
    <row r="44" spans="2:12" ht="26.25" customHeight="1" thickBot="1" x14ac:dyDescent="0.3">
      <c r="B44" s="70" t="s">
        <v>56</v>
      </c>
      <c r="C44" s="68" t="s">
        <v>57</v>
      </c>
      <c r="D44" s="72" t="s">
        <v>16</v>
      </c>
      <c r="E44" s="81"/>
      <c r="F44" s="80"/>
      <c r="G44" s="80"/>
      <c r="H44" s="80"/>
      <c r="I44" s="80"/>
      <c r="J44" s="80"/>
      <c r="K44" s="80"/>
      <c r="L44" s="63"/>
    </row>
    <row r="45" spans="2:12" ht="24" customHeight="1" thickBot="1" x14ac:dyDescent="0.3">
      <c r="B45" s="70" t="s">
        <v>58</v>
      </c>
      <c r="C45" s="68" t="s">
        <v>59</v>
      </c>
      <c r="D45" s="72" t="s">
        <v>16</v>
      </c>
      <c r="E45" s="81"/>
      <c r="F45" s="80"/>
      <c r="G45" s="80"/>
      <c r="H45" s="80"/>
      <c r="I45" s="80"/>
      <c r="J45" s="80"/>
      <c r="K45" s="80"/>
      <c r="L45" s="63"/>
    </row>
    <row r="46" spans="2:12" ht="25.5" customHeight="1" thickBot="1" x14ac:dyDescent="0.3">
      <c r="B46" s="70" t="s">
        <v>60</v>
      </c>
      <c r="C46" s="68" t="s">
        <v>61</v>
      </c>
      <c r="D46" s="72" t="s">
        <v>16</v>
      </c>
      <c r="E46" s="81"/>
      <c r="F46" s="80"/>
      <c r="G46" s="80"/>
      <c r="H46" s="80"/>
      <c r="I46" s="80"/>
      <c r="J46" s="80"/>
      <c r="K46" s="80"/>
      <c r="L46" s="63"/>
    </row>
    <row r="47" spans="2:12" ht="26.25" customHeight="1" thickBot="1" x14ac:dyDescent="0.3">
      <c r="B47" s="70" t="s">
        <v>62</v>
      </c>
      <c r="C47" s="68" t="s">
        <v>63</v>
      </c>
      <c r="D47" s="72" t="s">
        <v>16</v>
      </c>
      <c r="E47" s="81"/>
      <c r="F47" s="80"/>
      <c r="G47" s="80"/>
      <c r="H47" s="80"/>
      <c r="I47" s="80"/>
      <c r="J47" s="80"/>
      <c r="K47" s="80"/>
      <c r="L47" s="63"/>
    </row>
    <row r="48" spans="2:12" ht="25.5" customHeight="1" thickBot="1" x14ac:dyDescent="0.3">
      <c r="B48" s="70" t="s">
        <v>64</v>
      </c>
      <c r="C48" s="68" t="s">
        <v>65</v>
      </c>
      <c r="D48" s="72" t="s">
        <v>16</v>
      </c>
      <c r="E48" s="81"/>
      <c r="F48" s="80"/>
      <c r="G48" s="80"/>
      <c r="H48" s="80"/>
      <c r="I48" s="80"/>
      <c r="J48" s="80"/>
      <c r="K48" s="80"/>
      <c r="L48" s="63"/>
    </row>
    <row r="49" spans="2:12" ht="25.5" customHeight="1" thickBot="1" x14ac:dyDescent="0.3">
      <c r="B49" s="70" t="s">
        <v>66</v>
      </c>
      <c r="C49" s="75" t="s">
        <v>67</v>
      </c>
      <c r="D49" s="76" t="s">
        <v>16</v>
      </c>
      <c r="E49" s="81"/>
      <c r="F49" s="80"/>
      <c r="G49" s="80"/>
      <c r="H49" s="80"/>
      <c r="I49" s="80"/>
      <c r="J49" s="80"/>
      <c r="K49" s="80"/>
      <c r="L49" s="63"/>
    </row>
    <row r="50" spans="2:12" ht="25.5" customHeight="1" thickBot="1" x14ac:dyDescent="0.3">
      <c r="B50" s="70" t="s">
        <v>68</v>
      </c>
      <c r="C50" s="75" t="s">
        <v>69</v>
      </c>
      <c r="D50" s="77" t="s">
        <v>16</v>
      </c>
      <c r="E50" s="81"/>
      <c r="F50" s="80"/>
      <c r="G50" s="80"/>
      <c r="H50" s="80"/>
      <c r="I50" s="80"/>
      <c r="J50" s="80"/>
      <c r="K50" s="80"/>
      <c r="L50" s="63"/>
    </row>
    <row r="51" spans="2:12" ht="26.25" customHeight="1" thickBot="1" x14ac:dyDescent="0.3">
      <c r="B51" s="70" t="s">
        <v>70</v>
      </c>
      <c r="C51" s="68" t="s">
        <v>71</v>
      </c>
      <c r="D51" s="69" t="s">
        <v>16</v>
      </c>
      <c r="E51" s="81"/>
      <c r="F51" s="80"/>
      <c r="G51" s="80"/>
      <c r="H51" s="80"/>
      <c r="I51" s="80"/>
      <c r="J51" s="80"/>
      <c r="K51" s="80"/>
      <c r="L51" s="63"/>
    </row>
    <row r="52" spans="2:12" ht="25.5" customHeight="1" thickBot="1" x14ac:dyDescent="0.3">
      <c r="B52" s="70" t="s">
        <v>72</v>
      </c>
      <c r="C52" s="75" t="s">
        <v>73</v>
      </c>
      <c r="D52" s="69" t="s">
        <v>16</v>
      </c>
      <c r="E52" s="81"/>
      <c r="F52" s="80"/>
      <c r="G52" s="80"/>
      <c r="H52" s="80"/>
      <c r="I52" s="80"/>
      <c r="J52" s="80"/>
      <c r="K52" s="80"/>
      <c r="L52" s="63"/>
    </row>
    <row r="53" spans="2:12" ht="26.25" customHeight="1" thickBot="1" x14ac:dyDescent="0.3">
      <c r="B53" s="70" t="s">
        <v>74</v>
      </c>
      <c r="C53" s="75" t="s">
        <v>75</v>
      </c>
      <c r="D53" s="69" t="s">
        <v>16</v>
      </c>
      <c r="E53" s="81"/>
      <c r="F53" s="80"/>
      <c r="G53" s="80"/>
      <c r="H53" s="80"/>
      <c r="I53" s="80"/>
      <c r="J53" s="80"/>
      <c r="K53" s="80"/>
      <c r="L53" s="63"/>
    </row>
    <row r="54" spans="2:12" ht="31.5" customHeight="1" thickBot="1" x14ac:dyDescent="0.3">
      <c r="B54" s="70" t="s">
        <v>76</v>
      </c>
      <c r="C54" s="68" t="s">
        <v>77</v>
      </c>
      <c r="D54" s="69" t="s">
        <v>16</v>
      </c>
      <c r="E54" s="81"/>
      <c r="F54" s="80"/>
      <c r="G54" s="80"/>
      <c r="H54" s="80"/>
      <c r="I54" s="80"/>
      <c r="J54" s="80"/>
      <c r="K54" s="80"/>
      <c r="L54" s="63"/>
    </row>
    <row r="55" spans="2:12" x14ac:dyDescent="0.25">
      <c r="B55" s="78"/>
      <c r="E55" s="63"/>
      <c r="F55" s="63"/>
      <c r="G55" s="63"/>
      <c r="H55" s="63"/>
      <c r="I55" s="63"/>
      <c r="J55" s="63"/>
      <c r="K55" s="63"/>
      <c r="L55" s="63"/>
    </row>
    <row r="56" spans="2:12" x14ac:dyDescent="0.25">
      <c r="E56" s="63"/>
      <c r="F56" s="63"/>
      <c r="G56" s="63"/>
      <c r="H56" s="63"/>
      <c r="I56" s="63"/>
      <c r="J56" s="63"/>
      <c r="K56" s="63"/>
      <c r="L56" s="63"/>
    </row>
  </sheetData>
  <sheetProtection algorithmName="SHA-512" hashValue="hD0AZEDwO8dKTn5P6zfi2P78fIZDsQlmmeiHnGaJiFstouwVFPnfoUprayf+R240Ys38SEAiXd4veBWzgpwGDQ==" saltValue="rtKP/xcr/VAe4ZLAkvW8hA==" spinCount="100000" sheet="1" objects="1" scenarios="1" formatCells="0"/>
  <customSheetViews>
    <customSheetView guid="{EDFE284D-223A-49E7-8396-C31999A2537B}" hiddenColumns="1">
      <selection sqref="A1:XFD1048576"/>
      <pageMargins left="0.7" right="0.7" top="0.75" bottom="0.75" header="0.3" footer="0.3"/>
      <pageSetup paperSize="9" orientation="portrait" r:id="rId1"/>
    </customSheetView>
  </customSheetViews>
  <mergeCells count="85">
    <mergeCell ref="F13:F14"/>
    <mergeCell ref="A13:A26"/>
    <mergeCell ref="B13:B14"/>
    <mergeCell ref="C13:C14"/>
    <mergeCell ref="D13:D14"/>
    <mergeCell ref="E13:E14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G15:G16"/>
    <mergeCell ref="H15:H16"/>
    <mergeCell ref="I15:I16"/>
    <mergeCell ref="J15:J16"/>
    <mergeCell ref="K15:K16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K23:K24"/>
    <mergeCell ref="G19:G20"/>
    <mergeCell ref="H19:H20"/>
    <mergeCell ref="I19:I20"/>
    <mergeCell ref="J19:J20"/>
    <mergeCell ref="F25:F26"/>
    <mergeCell ref="K19:K20"/>
    <mergeCell ref="B23:B24"/>
    <mergeCell ref="C23:C24"/>
    <mergeCell ref="D23:D24"/>
    <mergeCell ref="E23:E24"/>
    <mergeCell ref="F23:F24"/>
    <mergeCell ref="G21:G22"/>
    <mergeCell ref="H21:H22"/>
    <mergeCell ref="I21:I22"/>
    <mergeCell ref="J21:J22"/>
    <mergeCell ref="K21:K22"/>
    <mergeCell ref="G23:G24"/>
    <mergeCell ref="H23:H24"/>
    <mergeCell ref="I23:I24"/>
    <mergeCell ref="J23:J24"/>
    <mergeCell ref="C27:C28"/>
    <mergeCell ref="D27:D28"/>
    <mergeCell ref="E27:E28"/>
    <mergeCell ref="B25:B26"/>
    <mergeCell ref="C25:C26"/>
    <mergeCell ref="D25:D26"/>
    <mergeCell ref="E25:E26"/>
    <mergeCell ref="C3:G3"/>
    <mergeCell ref="A1:K2"/>
    <mergeCell ref="A4:XFD4"/>
    <mergeCell ref="F27:F28"/>
    <mergeCell ref="G27:G28"/>
    <mergeCell ref="H27:H28"/>
    <mergeCell ref="I27:I28"/>
    <mergeCell ref="J27:J28"/>
    <mergeCell ref="K27:K28"/>
    <mergeCell ref="G25:G26"/>
    <mergeCell ref="H25:H26"/>
    <mergeCell ref="I25:I26"/>
    <mergeCell ref="J25:J26"/>
    <mergeCell ref="K25:K26"/>
    <mergeCell ref="A27:A28"/>
    <mergeCell ref="B27:B28"/>
  </mergeCells>
  <dataValidations count="6">
    <dataValidation type="list" allowBlank="1" showInputMessage="1" showErrorMessage="1" sqref="C9" xr:uid="{00000000-0002-0000-0000-000000000000}">
      <formula1>$BA$12:$BA$14</formula1>
    </dataValidation>
    <dataValidation type="whole" allowBlank="1" showInputMessage="1" showErrorMessage="1" error="Valor= 0 o 1 _x000a_" sqref="E47:K54" xr:uid="{00000000-0002-0000-0000-000001000000}">
      <formula1>0</formula1>
      <formula2>1</formula2>
    </dataValidation>
    <dataValidation type="whole" allowBlank="1" showInputMessage="1" showErrorMessage="1" error="Valor= 0 o 1 " sqref="E35 E36 F35 G35 H35 I35 J35 K35 K36 J36 I36 H36 G36 F36 F36 E40 F40 G40 H40 I40 I40 J40 K40 J40 E13:E14 E15:E16 F13:F14 F15:K16 G13:G14 H13:H14 J13:J14 J13:J14 K13:K14 I13:I14 I13:I14" xr:uid="{00000000-0002-0000-0000-000002000000}">
      <formula1>0</formula1>
      <formula2>1</formula2>
    </dataValidation>
    <dataValidation type="whole" allowBlank="1" showInputMessage="1" showErrorMessage="1" error="Valor= 1" sqref="E44:K44" xr:uid="{00000000-0002-0000-0000-000003000000}">
      <formula1>1</formula1>
      <formula2>1</formula2>
    </dataValidation>
    <dataValidation type="whole" allowBlank="1" showInputMessage="1" showErrorMessage="1" error="Valor=0" sqref="E19:K20" xr:uid="{00000000-0002-0000-0000-000004000000}">
      <formula1>0</formula1>
      <formula2>0</formula2>
    </dataValidation>
    <dataValidation type="textLength" allowBlank="1" showInputMessage="1" showErrorMessage="1" error="El format del NIF no és correcte" sqref="C8" xr:uid="{9B7BD80A-96D8-454F-A9CB-A21B773A707F}">
      <formula1>9</formula1>
      <formula2>9</formula2>
    </dataValidation>
  </dataValidations>
  <pageMargins left="0.25" right="0.25" top="0.75" bottom="0.75" header="0.3" footer="0.3"/>
  <pageSetup paperSize="9" scale="19" orientation="landscape" r:id="rId2"/>
  <headerFooter>
    <oddFooter>&amp;R&amp;7D.71
Versió 1, 19 de febrer de 2018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S56"/>
  <sheetViews>
    <sheetView zoomScale="70" zoomScaleNormal="70" workbookViewId="0">
      <selection activeCell="C8" sqref="C8"/>
    </sheetView>
  </sheetViews>
  <sheetFormatPr defaultColWidth="11.42578125" defaultRowHeight="15" x14ac:dyDescent="0.25"/>
  <cols>
    <col min="1" max="1" width="19" style="56" customWidth="1"/>
    <col min="2" max="2" width="20.5703125" style="56" customWidth="1"/>
    <col min="3" max="3" width="115" style="56" customWidth="1"/>
    <col min="4" max="4" width="15.42578125" style="56" customWidth="1"/>
    <col min="5" max="5" width="14.42578125" style="56" customWidth="1"/>
    <col min="6" max="6" width="14.7109375" style="56" customWidth="1"/>
    <col min="7" max="11" width="15.7109375" style="56" customWidth="1"/>
    <col min="12" max="252" width="11.42578125" style="56"/>
    <col min="253" max="253" width="22" style="56" customWidth="1"/>
    <col min="254" max="16384" width="11.42578125" style="56"/>
  </cols>
  <sheetData>
    <row r="1" spans="1:253" x14ac:dyDescent="0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253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253" ht="33" customHeight="1" x14ac:dyDescent="0.4">
      <c r="A3" s="57"/>
      <c r="B3" s="57"/>
      <c r="C3" s="85" t="s">
        <v>91</v>
      </c>
      <c r="D3" s="85"/>
      <c r="E3" s="85"/>
      <c r="F3" s="85"/>
      <c r="G3" s="85"/>
      <c r="H3" s="57"/>
      <c r="I3" s="57"/>
      <c r="J3" s="57"/>
      <c r="K3" s="57"/>
      <c r="IS3" s="112"/>
    </row>
    <row r="4" spans="1:253" ht="24" customHeight="1" thickBot="1" x14ac:dyDescent="0.3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IS4" s="112"/>
    </row>
    <row r="5" spans="1:253" ht="16.5" thickBot="1" x14ac:dyDescent="0.3">
      <c r="B5" s="58" t="s">
        <v>82</v>
      </c>
      <c r="C5" s="79">
        <f>codiexp1</f>
        <v>0</v>
      </c>
      <c r="IS5" s="112"/>
    </row>
    <row r="6" spans="1:253" ht="19.5" thickBot="1" x14ac:dyDescent="0.35">
      <c r="B6" s="58" t="s">
        <v>83</v>
      </c>
      <c r="C6" s="131" t="str">
        <f>+CONCATENATE(C5,"-01")</f>
        <v>0-01</v>
      </c>
    </row>
    <row r="7" spans="1:253" ht="16.5" thickBot="1" x14ac:dyDescent="0.3">
      <c r="B7" s="58" t="s">
        <v>0</v>
      </c>
      <c r="C7" s="20"/>
    </row>
    <row r="8" spans="1:253" ht="16.5" thickBot="1" x14ac:dyDescent="0.3">
      <c r="B8" s="58" t="s">
        <v>80</v>
      </c>
      <c r="C8" s="20"/>
    </row>
    <row r="9" spans="1:253" ht="16.5" thickBot="1" x14ac:dyDescent="0.3">
      <c r="B9" s="58" t="s">
        <v>84</v>
      </c>
      <c r="C9" s="113">
        <f>justificacio</f>
        <v>0</v>
      </c>
    </row>
    <row r="10" spans="1:253" ht="15.75" thickBot="1" x14ac:dyDescent="0.3">
      <c r="B10" s="59"/>
      <c r="C10" s="60"/>
    </row>
    <row r="11" spans="1:253" ht="32.25" thickBot="1" x14ac:dyDescent="0.3">
      <c r="A11" s="58" t="s">
        <v>90</v>
      </c>
      <c r="B11" s="58" t="s">
        <v>1</v>
      </c>
      <c r="C11" s="61" t="s">
        <v>2</v>
      </c>
      <c r="D11" s="61" t="s">
        <v>3</v>
      </c>
      <c r="E11" s="62">
        <v>2017</v>
      </c>
      <c r="F11" s="62">
        <v>2018</v>
      </c>
      <c r="G11" s="62">
        <v>2019</v>
      </c>
      <c r="H11" s="62">
        <v>2020</v>
      </c>
      <c r="I11" s="62">
        <v>2021</v>
      </c>
      <c r="J11" s="62">
        <v>2022</v>
      </c>
      <c r="K11" s="62">
        <v>2023</v>
      </c>
    </row>
    <row r="12" spans="1:253" x14ac:dyDescent="0.25">
      <c r="A12" s="88" t="s">
        <v>85</v>
      </c>
      <c r="B12" s="94" t="s">
        <v>5</v>
      </c>
      <c r="C12" s="90" t="s">
        <v>6</v>
      </c>
      <c r="D12" s="90" t="s">
        <v>7</v>
      </c>
      <c r="E12" s="98"/>
      <c r="F12" s="97"/>
      <c r="G12" s="97"/>
      <c r="H12" s="97"/>
      <c r="I12" s="97"/>
      <c r="J12" s="97"/>
      <c r="K12" s="97"/>
      <c r="L12" s="63"/>
    </row>
    <row r="13" spans="1:253" ht="15.75" thickBot="1" x14ac:dyDescent="0.3">
      <c r="A13" s="96"/>
      <c r="B13" s="95"/>
      <c r="C13" s="91"/>
      <c r="D13" s="91"/>
      <c r="E13" s="98"/>
      <c r="F13" s="97"/>
      <c r="G13" s="97"/>
      <c r="H13" s="97"/>
      <c r="I13" s="97"/>
      <c r="J13" s="97"/>
      <c r="K13" s="97"/>
      <c r="L13" s="63"/>
    </row>
    <row r="14" spans="1:253" x14ac:dyDescent="0.25">
      <c r="A14" s="96"/>
      <c r="B14" s="92" t="s">
        <v>8</v>
      </c>
      <c r="C14" s="90" t="s">
        <v>9</v>
      </c>
      <c r="D14" s="90" t="s">
        <v>10</v>
      </c>
      <c r="E14" s="98"/>
      <c r="F14" s="97"/>
      <c r="G14" s="97"/>
      <c r="H14" s="97"/>
      <c r="I14" s="97"/>
      <c r="J14" s="97"/>
      <c r="K14" s="97"/>
      <c r="L14" s="63"/>
    </row>
    <row r="15" spans="1:253" ht="15.75" thickBot="1" x14ac:dyDescent="0.3">
      <c r="A15" s="96"/>
      <c r="B15" s="93"/>
      <c r="C15" s="91"/>
      <c r="D15" s="91"/>
      <c r="E15" s="98"/>
      <c r="F15" s="97"/>
      <c r="G15" s="97"/>
      <c r="H15" s="97"/>
      <c r="I15" s="97"/>
      <c r="J15" s="97"/>
      <c r="K15" s="97"/>
      <c r="L15" s="63"/>
    </row>
    <row r="16" spans="1:253" x14ac:dyDescent="0.25">
      <c r="A16" s="96"/>
      <c r="B16" s="94" t="s">
        <v>11</v>
      </c>
      <c r="C16" s="90" t="s">
        <v>12</v>
      </c>
      <c r="D16" s="90" t="s">
        <v>13</v>
      </c>
      <c r="E16" s="98"/>
      <c r="F16" s="97"/>
      <c r="G16" s="97"/>
      <c r="H16" s="97"/>
      <c r="I16" s="97"/>
      <c r="J16" s="97"/>
      <c r="K16" s="97"/>
      <c r="L16" s="63"/>
    </row>
    <row r="17" spans="1:12" ht="15.75" thickBot="1" x14ac:dyDescent="0.3">
      <c r="A17" s="96"/>
      <c r="B17" s="95"/>
      <c r="C17" s="91"/>
      <c r="D17" s="91"/>
      <c r="E17" s="98"/>
      <c r="F17" s="97"/>
      <c r="G17" s="97"/>
      <c r="H17" s="97"/>
      <c r="I17" s="97"/>
      <c r="J17" s="97"/>
      <c r="K17" s="97"/>
      <c r="L17" s="63"/>
    </row>
    <row r="18" spans="1:12" x14ac:dyDescent="0.25">
      <c r="A18" s="96"/>
      <c r="B18" s="94" t="s">
        <v>14</v>
      </c>
      <c r="C18" s="90" t="s">
        <v>15</v>
      </c>
      <c r="D18" s="90" t="s">
        <v>16</v>
      </c>
      <c r="E18" s="98"/>
      <c r="F18" s="97"/>
      <c r="G18" s="97"/>
      <c r="H18" s="97"/>
      <c r="I18" s="97"/>
      <c r="J18" s="97"/>
      <c r="K18" s="97"/>
      <c r="L18" s="63"/>
    </row>
    <row r="19" spans="1:12" ht="15.75" thickBot="1" x14ac:dyDescent="0.3">
      <c r="A19" s="96"/>
      <c r="B19" s="95"/>
      <c r="C19" s="91"/>
      <c r="D19" s="91"/>
      <c r="E19" s="98"/>
      <c r="F19" s="97"/>
      <c r="G19" s="97"/>
      <c r="H19" s="97"/>
      <c r="I19" s="97"/>
      <c r="J19" s="97"/>
      <c r="K19" s="97"/>
      <c r="L19" s="63"/>
    </row>
    <row r="20" spans="1:12" x14ac:dyDescent="0.25">
      <c r="A20" s="96"/>
      <c r="B20" s="94" t="s">
        <v>17</v>
      </c>
      <c r="C20" s="90" t="s">
        <v>18</v>
      </c>
      <c r="D20" s="90" t="s">
        <v>19</v>
      </c>
      <c r="E20" s="98"/>
      <c r="F20" s="97"/>
      <c r="G20" s="97"/>
      <c r="H20" s="97"/>
      <c r="I20" s="97"/>
      <c r="J20" s="97"/>
      <c r="K20" s="97"/>
      <c r="L20" s="63"/>
    </row>
    <row r="21" spans="1:12" ht="15.75" thickBot="1" x14ac:dyDescent="0.3">
      <c r="A21" s="96"/>
      <c r="B21" s="95"/>
      <c r="C21" s="91"/>
      <c r="D21" s="91"/>
      <c r="E21" s="98"/>
      <c r="F21" s="97"/>
      <c r="G21" s="97"/>
      <c r="H21" s="97"/>
      <c r="I21" s="97"/>
      <c r="J21" s="97"/>
      <c r="K21" s="97"/>
      <c r="L21" s="63"/>
    </row>
    <row r="22" spans="1:12" x14ac:dyDescent="0.25">
      <c r="A22" s="96"/>
      <c r="B22" s="90" t="s">
        <v>20</v>
      </c>
      <c r="C22" s="90" t="s">
        <v>21</v>
      </c>
      <c r="D22" s="90" t="s">
        <v>22</v>
      </c>
      <c r="E22" s="98"/>
      <c r="F22" s="97"/>
      <c r="G22" s="97"/>
      <c r="H22" s="97"/>
      <c r="I22" s="97"/>
      <c r="J22" s="97"/>
      <c r="K22" s="97"/>
      <c r="L22" s="63"/>
    </row>
    <row r="23" spans="1:12" ht="15.75" thickBot="1" x14ac:dyDescent="0.3">
      <c r="A23" s="96"/>
      <c r="B23" s="91"/>
      <c r="C23" s="91"/>
      <c r="D23" s="91"/>
      <c r="E23" s="98"/>
      <c r="F23" s="97"/>
      <c r="G23" s="97"/>
      <c r="H23" s="97"/>
      <c r="I23" s="97"/>
      <c r="J23" s="97"/>
      <c r="K23" s="97"/>
      <c r="L23" s="63"/>
    </row>
    <row r="24" spans="1:12" x14ac:dyDescent="0.25">
      <c r="A24" s="96"/>
      <c r="B24" s="114" t="s">
        <v>23</v>
      </c>
      <c r="C24" s="90" t="s">
        <v>24</v>
      </c>
      <c r="D24" s="90" t="s">
        <v>19</v>
      </c>
      <c r="E24" s="98"/>
      <c r="F24" s="97"/>
      <c r="G24" s="97"/>
      <c r="H24" s="97"/>
      <c r="I24" s="97"/>
      <c r="J24" s="97"/>
      <c r="K24" s="97"/>
      <c r="L24" s="63"/>
    </row>
    <row r="25" spans="1:12" ht="15.75" thickBot="1" x14ac:dyDescent="0.3">
      <c r="A25" s="89"/>
      <c r="B25" s="115"/>
      <c r="C25" s="91"/>
      <c r="D25" s="91"/>
      <c r="E25" s="98"/>
      <c r="F25" s="97"/>
      <c r="G25" s="97"/>
      <c r="H25" s="97"/>
      <c r="I25" s="97"/>
      <c r="J25" s="97"/>
      <c r="K25" s="97"/>
      <c r="L25" s="63"/>
    </row>
    <row r="26" spans="1:12" x14ac:dyDescent="0.25">
      <c r="A26" s="88" t="s">
        <v>25</v>
      </c>
      <c r="B26" s="90" t="s">
        <v>26</v>
      </c>
      <c r="C26" s="90" t="s">
        <v>27</v>
      </c>
      <c r="D26" s="90" t="s">
        <v>13</v>
      </c>
      <c r="E26" s="98"/>
      <c r="F26" s="97"/>
      <c r="G26" s="97"/>
      <c r="H26" s="97"/>
      <c r="I26" s="97"/>
      <c r="J26" s="97"/>
      <c r="K26" s="97"/>
      <c r="L26" s="63"/>
    </row>
    <row r="27" spans="1:12" ht="15.75" thickBot="1" x14ac:dyDescent="0.3">
      <c r="A27" s="89"/>
      <c r="B27" s="91"/>
      <c r="C27" s="91"/>
      <c r="D27" s="91"/>
      <c r="E27" s="98"/>
      <c r="F27" s="97"/>
      <c r="G27" s="97"/>
      <c r="H27" s="97"/>
      <c r="I27" s="97"/>
      <c r="J27" s="97"/>
      <c r="K27" s="97"/>
      <c r="L27" s="63"/>
    </row>
    <row r="28" spans="1:12" ht="32.25" thickBot="1" x14ac:dyDescent="0.3">
      <c r="A28" s="58" t="s">
        <v>89</v>
      </c>
      <c r="B28" s="58" t="s">
        <v>1</v>
      </c>
      <c r="C28" s="61" t="s">
        <v>2</v>
      </c>
      <c r="D28" s="61" t="s">
        <v>3</v>
      </c>
      <c r="E28" s="62">
        <v>2017</v>
      </c>
      <c r="F28" s="62">
        <v>2018</v>
      </c>
      <c r="G28" s="62">
        <v>2019</v>
      </c>
      <c r="H28" s="62">
        <v>2020</v>
      </c>
      <c r="I28" s="62">
        <v>2021</v>
      </c>
      <c r="J28" s="62">
        <v>2022</v>
      </c>
      <c r="K28" s="62">
        <v>2023</v>
      </c>
      <c r="L28" s="63"/>
    </row>
    <row r="29" spans="1:12" ht="25.5" customHeight="1" thickBot="1" x14ac:dyDescent="0.3">
      <c r="B29" s="67" t="s">
        <v>28</v>
      </c>
      <c r="C29" s="68" t="s">
        <v>29</v>
      </c>
      <c r="D29" s="64" t="s">
        <v>13</v>
      </c>
      <c r="E29" s="81"/>
      <c r="F29" s="80"/>
      <c r="G29" s="80"/>
      <c r="H29" s="80"/>
      <c r="I29" s="80"/>
      <c r="J29" s="80"/>
      <c r="K29" s="80"/>
      <c r="L29" s="63"/>
    </row>
    <row r="30" spans="1:12" ht="25.5" customHeight="1" thickBot="1" x14ac:dyDescent="0.3">
      <c r="B30" s="67" t="s">
        <v>30</v>
      </c>
      <c r="C30" s="68" t="s">
        <v>31</v>
      </c>
      <c r="D30" s="67" t="s">
        <v>13</v>
      </c>
      <c r="E30" s="81"/>
      <c r="F30" s="80"/>
      <c r="G30" s="80"/>
      <c r="H30" s="80"/>
      <c r="I30" s="80"/>
      <c r="J30" s="80"/>
      <c r="K30" s="80"/>
      <c r="L30" s="63"/>
    </row>
    <row r="31" spans="1:12" ht="25.5" customHeight="1" thickBot="1" x14ac:dyDescent="0.3">
      <c r="B31" s="70" t="s">
        <v>32</v>
      </c>
      <c r="C31" s="68" t="s">
        <v>33</v>
      </c>
      <c r="D31" s="67" t="s">
        <v>16</v>
      </c>
      <c r="E31" s="81"/>
      <c r="F31" s="80"/>
      <c r="G31" s="80"/>
      <c r="H31" s="80"/>
      <c r="I31" s="80"/>
      <c r="J31" s="80"/>
      <c r="K31" s="80"/>
      <c r="L31" s="63"/>
    </row>
    <row r="32" spans="1:12" ht="25.5" customHeight="1" thickBot="1" x14ac:dyDescent="0.3">
      <c r="B32" s="70" t="s">
        <v>34</v>
      </c>
      <c r="C32" s="68" t="s">
        <v>35</v>
      </c>
      <c r="D32" s="67" t="s">
        <v>16</v>
      </c>
      <c r="E32" s="81"/>
      <c r="F32" s="80"/>
      <c r="G32" s="80"/>
      <c r="H32" s="80"/>
      <c r="I32" s="80"/>
      <c r="J32" s="80"/>
      <c r="K32" s="80"/>
      <c r="L32" s="63"/>
    </row>
    <row r="33" spans="2:12" ht="25.5" customHeight="1" thickBot="1" x14ac:dyDescent="0.3">
      <c r="B33" s="70" t="s">
        <v>36</v>
      </c>
      <c r="C33" s="68" t="s">
        <v>37</v>
      </c>
      <c r="D33" s="70" t="s">
        <v>16</v>
      </c>
      <c r="E33" s="81"/>
      <c r="F33" s="80"/>
      <c r="G33" s="80"/>
      <c r="H33" s="80"/>
      <c r="I33" s="80"/>
      <c r="J33" s="80"/>
      <c r="K33" s="80"/>
      <c r="L33" s="63"/>
    </row>
    <row r="34" spans="2:12" ht="25.5" customHeight="1" thickBot="1" x14ac:dyDescent="0.3">
      <c r="B34" s="70" t="s">
        <v>38</v>
      </c>
      <c r="C34" s="71" t="s">
        <v>39</v>
      </c>
      <c r="D34" s="70" t="s">
        <v>16</v>
      </c>
      <c r="E34" s="81"/>
      <c r="F34" s="80"/>
      <c r="G34" s="80"/>
      <c r="H34" s="80"/>
      <c r="I34" s="80"/>
      <c r="J34" s="80"/>
      <c r="K34" s="80"/>
      <c r="L34" s="63"/>
    </row>
    <row r="35" spans="2:12" ht="25.5" customHeight="1" thickBot="1" x14ac:dyDescent="0.3">
      <c r="B35" s="70" t="s">
        <v>40</v>
      </c>
      <c r="C35" s="71" t="s">
        <v>41</v>
      </c>
      <c r="D35" s="67" t="s">
        <v>16</v>
      </c>
      <c r="E35" s="81"/>
      <c r="F35" s="80"/>
      <c r="G35" s="80"/>
      <c r="H35" s="80"/>
      <c r="I35" s="80"/>
      <c r="J35" s="80"/>
      <c r="K35" s="80"/>
      <c r="L35" s="63"/>
    </row>
    <row r="36" spans="2:12" ht="25.5" customHeight="1" thickBot="1" x14ac:dyDescent="0.3">
      <c r="B36" s="70" t="s">
        <v>42</v>
      </c>
      <c r="C36" s="68" t="s">
        <v>43</v>
      </c>
      <c r="D36" s="70" t="s">
        <v>16</v>
      </c>
      <c r="E36" s="81"/>
      <c r="F36" s="80"/>
      <c r="G36" s="80"/>
      <c r="H36" s="80"/>
      <c r="I36" s="80"/>
      <c r="J36" s="80"/>
      <c r="K36" s="80"/>
      <c r="L36" s="63"/>
    </row>
    <row r="37" spans="2:12" ht="25.5" customHeight="1" thickBot="1" x14ac:dyDescent="0.3">
      <c r="B37" s="70" t="s">
        <v>44</v>
      </c>
      <c r="C37" s="68" t="s">
        <v>45</v>
      </c>
      <c r="D37" s="116" t="s">
        <v>16</v>
      </c>
      <c r="E37" s="81"/>
      <c r="F37" s="80"/>
      <c r="G37" s="80"/>
      <c r="H37" s="80"/>
      <c r="I37" s="80"/>
      <c r="J37" s="80"/>
      <c r="K37" s="80"/>
      <c r="L37" s="63"/>
    </row>
    <row r="38" spans="2:12" ht="25.5" customHeight="1" thickBot="1" x14ac:dyDescent="0.3">
      <c r="B38" s="70" t="s">
        <v>46</v>
      </c>
      <c r="C38" s="68" t="s">
        <v>47</v>
      </c>
      <c r="D38" s="70" t="s">
        <v>16</v>
      </c>
      <c r="E38" s="81"/>
      <c r="F38" s="80"/>
      <c r="G38" s="80"/>
      <c r="H38" s="80"/>
      <c r="I38" s="80"/>
      <c r="J38" s="80"/>
      <c r="K38" s="80"/>
      <c r="L38" s="63"/>
    </row>
    <row r="39" spans="2:12" ht="25.5" customHeight="1" thickBot="1" x14ac:dyDescent="0.3">
      <c r="B39" s="70" t="s">
        <v>48</v>
      </c>
      <c r="C39" s="68" t="s">
        <v>49</v>
      </c>
      <c r="D39" s="117" t="s">
        <v>16</v>
      </c>
      <c r="E39" s="81"/>
      <c r="F39" s="80"/>
      <c r="G39" s="80"/>
      <c r="H39" s="80"/>
      <c r="I39" s="80"/>
      <c r="J39" s="80"/>
      <c r="K39" s="80"/>
      <c r="L39" s="63"/>
    </row>
    <row r="40" spans="2:12" ht="25.5" customHeight="1" thickBot="1" x14ac:dyDescent="0.3">
      <c r="B40" s="70" t="s">
        <v>50</v>
      </c>
      <c r="C40" s="68" t="s">
        <v>51</v>
      </c>
      <c r="D40" s="70" t="s">
        <v>16</v>
      </c>
      <c r="E40" s="22"/>
      <c r="F40" s="23"/>
      <c r="G40" s="23"/>
      <c r="H40" s="23"/>
      <c r="I40" s="23"/>
      <c r="J40" s="23"/>
      <c r="K40" s="23"/>
      <c r="L40" s="118"/>
    </row>
    <row r="41" spans="2:12" ht="25.5" customHeight="1" thickBot="1" x14ac:dyDescent="0.3">
      <c r="B41" s="70" t="s">
        <v>52</v>
      </c>
      <c r="C41" s="68" t="s">
        <v>53</v>
      </c>
      <c r="D41" s="70" t="s">
        <v>16</v>
      </c>
      <c r="E41" s="22"/>
      <c r="F41" s="23"/>
      <c r="G41" s="23"/>
      <c r="H41" s="23"/>
      <c r="I41" s="23"/>
      <c r="J41" s="23"/>
      <c r="K41" s="23"/>
      <c r="L41" s="118"/>
    </row>
    <row r="42" spans="2:12" ht="25.5" customHeight="1" thickBot="1" x14ac:dyDescent="0.3">
      <c r="B42" s="70" t="s">
        <v>54</v>
      </c>
      <c r="C42" s="68" t="s">
        <v>55</v>
      </c>
      <c r="D42" s="70" t="s">
        <v>16</v>
      </c>
      <c r="E42" s="22"/>
      <c r="F42" s="23"/>
      <c r="G42" s="23"/>
      <c r="H42" s="23"/>
      <c r="I42" s="23"/>
      <c r="J42" s="23"/>
      <c r="K42" s="23"/>
      <c r="L42" s="63"/>
    </row>
    <row r="43" spans="2:12" ht="25.5" customHeight="1" thickBot="1" x14ac:dyDescent="0.3">
      <c r="B43" s="70" t="s">
        <v>56</v>
      </c>
      <c r="C43" s="68" t="s">
        <v>57</v>
      </c>
      <c r="D43" s="70" t="s">
        <v>16</v>
      </c>
      <c r="E43" s="22"/>
      <c r="F43" s="22"/>
      <c r="G43" s="22"/>
      <c r="H43" s="22"/>
      <c r="I43" s="22"/>
      <c r="J43" s="22"/>
      <c r="K43" s="22"/>
      <c r="L43" s="118"/>
    </row>
    <row r="44" spans="2:12" ht="25.5" customHeight="1" thickBot="1" x14ac:dyDescent="0.3">
      <c r="B44" s="70" t="s">
        <v>58</v>
      </c>
      <c r="C44" s="68" t="s">
        <v>59</v>
      </c>
      <c r="D44" s="70" t="s">
        <v>16</v>
      </c>
      <c r="E44" s="24"/>
      <c r="F44" s="25"/>
      <c r="G44" s="25"/>
      <c r="H44" s="25"/>
      <c r="I44" s="25"/>
      <c r="J44" s="25"/>
      <c r="K44" s="25"/>
      <c r="L44" s="118"/>
    </row>
    <row r="45" spans="2:12" ht="25.5" customHeight="1" thickBot="1" x14ac:dyDescent="0.3">
      <c r="B45" s="70" t="s">
        <v>60</v>
      </c>
      <c r="C45" s="68" t="s">
        <v>61</v>
      </c>
      <c r="D45" s="70" t="s">
        <v>16</v>
      </c>
      <c r="E45" s="26"/>
      <c r="F45" s="27"/>
      <c r="G45" s="27"/>
      <c r="H45" s="27"/>
      <c r="I45" s="27"/>
      <c r="J45" s="27"/>
      <c r="K45" s="27"/>
      <c r="L45" s="118"/>
    </row>
    <row r="46" spans="2:12" ht="25.5" customHeight="1" thickBot="1" x14ac:dyDescent="0.3">
      <c r="B46" s="70" t="s">
        <v>62</v>
      </c>
      <c r="C46" s="68" t="s">
        <v>63</v>
      </c>
      <c r="D46" s="119" t="s">
        <v>16</v>
      </c>
      <c r="E46" s="28"/>
      <c r="F46" s="29"/>
      <c r="G46" s="29"/>
      <c r="H46" s="29"/>
      <c r="I46" s="29"/>
      <c r="J46" s="29"/>
      <c r="K46" s="29"/>
      <c r="L46" s="118"/>
    </row>
    <row r="47" spans="2:12" ht="25.5" customHeight="1" thickBot="1" x14ac:dyDescent="0.3">
      <c r="B47" s="70" t="s">
        <v>64</v>
      </c>
      <c r="C47" s="68" t="s">
        <v>65</v>
      </c>
      <c r="D47" s="70" t="s">
        <v>16</v>
      </c>
      <c r="E47" s="30"/>
      <c r="F47" s="31"/>
      <c r="G47" s="31"/>
      <c r="H47" s="31"/>
      <c r="I47" s="31"/>
      <c r="J47" s="31"/>
      <c r="K47" s="31"/>
      <c r="L47" s="118"/>
    </row>
    <row r="48" spans="2:12" ht="25.5" customHeight="1" thickBot="1" x14ac:dyDescent="0.3">
      <c r="B48" s="119" t="s">
        <v>66</v>
      </c>
      <c r="C48" s="75" t="s">
        <v>67</v>
      </c>
      <c r="D48" s="120" t="s">
        <v>16</v>
      </c>
      <c r="E48" s="28"/>
      <c r="F48" s="29"/>
      <c r="G48" s="29"/>
      <c r="H48" s="29"/>
      <c r="I48" s="29"/>
      <c r="J48" s="29"/>
      <c r="K48" s="29"/>
      <c r="L48" s="118"/>
    </row>
    <row r="49" spans="2:12" ht="25.5" customHeight="1" thickBot="1" x14ac:dyDescent="0.3">
      <c r="B49" s="70" t="s">
        <v>68</v>
      </c>
      <c r="C49" s="75" t="s">
        <v>69</v>
      </c>
      <c r="D49" s="119" t="s">
        <v>16</v>
      </c>
      <c r="E49" s="26"/>
      <c r="F49" s="27"/>
      <c r="G49" s="27"/>
      <c r="H49" s="27"/>
      <c r="I49" s="27"/>
      <c r="J49" s="27"/>
      <c r="K49" s="27"/>
      <c r="L49" s="118"/>
    </row>
    <row r="50" spans="2:12" ht="25.5" customHeight="1" thickBot="1" x14ac:dyDescent="0.3">
      <c r="B50" s="70" t="s">
        <v>70</v>
      </c>
      <c r="C50" s="68" t="s">
        <v>71</v>
      </c>
      <c r="D50" s="67" t="s">
        <v>16</v>
      </c>
      <c r="E50" s="32"/>
      <c r="F50" s="33"/>
      <c r="G50" s="33"/>
      <c r="H50" s="33"/>
      <c r="I50" s="33"/>
      <c r="J50" s="33"/>
      <c r="K50" s="33"/>
      <c r="L50" s="118"/>
    </row>
    <row r="51" spans="2:12" ht="25.5" customHeight="1" thickBot="1" x14ac:dyDescent="0.3">
      <c r="B51" s="70" t="s">
        <v>72</v>
      </c>
      <c r="C51" s="75" t="s">
        <v>73</v>
      </c>
      <c r="D51" s="67" t="s">
        <v>16</v>
      </c>
      <c r="E51" s="30"/>
      <c r="F51" s="31"/>
      <c r="G51" s="31"/>
      <c r="H51" s="31"/>
      <c r="I51" s="31"/>
      <c r="J51" s="31"/>
      <c r="K51" s="31"/>
      <c r="L51" s="118"/>
    </row>
    <row r="52" spans="2:12" ht="25.5" customHeight="1" thickBot="1" x14ac:dyDescent="0.3">
      <c r="B52" s="70" t="s">
        <v>74</v>
      </c>
      <c r="C52" s="75" t="s">
        <v>75</v>
      </c>
      <c r="D52" s="67" t="s">
        <v>16</v>
      </c>
      <c r="E52" s="26"/>
      <c r="F52" s="27"/>
      <c r="G52" s="27"/>
      <c r="H52" s="27"/>
      <c r="I52" s="27"/>
      <c r="J52" s="27"/>
      <c r="K52" s="27"/>
      <c r="L52" s="118"/>
    </row>
    <row r="53" spans="2:12" ht="25.5" customHeight="1" thickBot="1" x14ac:dyDescent="0.3">
      <c r="B53" s="70" t="s">
        <v>76</v>
      </c>
      <c r="C53" s="68" t="s">
        <v>77</v>
      </c>
      <c r="D53" s="67" t="s">
        <v>16</v>
      </c>
      <c r="E53" s="22"/>
      <c r="F53" s="23"/>
      <c r="G53" s="23"/>
      <c r="H53" s="23"/>
      <c r="I53" s="23"/>
      <c r="J53" s="23"/>
      <c r="K53" s="23"/>
      <c r="L53" s="118"/>
    </row>
    <row r="54" spans="2:12" x14ac:dyDescent="0.25">
      <c r="E54" s="63"/>
      <c r="F54" s="63"/>
      <c r="G54" s="63"/>
      <c r="H54" s="63"/>
      <c r="I54" s="63"/>
      <c r="J54" s="63"/>
      <c r="K54" s="63"/>
      <c r="L54" s="63"/>
    </row>
    <row r="55" spans="2:12" x14ac:dyDescent="0.25">
      <c r="E55" s="63"/>
      <c r="F55" s="63"/>
      <c r="G55" s="63"/>
      <c r="H55" s="63"/>
      <c r="I55" s="63"/>
      <c r="J55" s="63"/>
      <c r="K55" s="63"/>
      <c r="L55" s="63"/>
    </row>
    <row r="56" spans="2:12" x14ac:dyDescent="0.25">
      <c r="E56" s="63"/>
      <c r="F56" s="63"/>
      <c r="G56" s="63"/>
      <c r="H56" s="63"/>
      <c r="I56" s="63"/>
      <c r="J56" s="63"/>
      <c r="K56" s="63"/>
      <c r="L56" s="63"/>
    </row>
  </sheetData>
  <sheetProtection algorithmName="SHA-512" hashValue="l92wOuwFoaG5AqDGFy5MsascGWjEYwc4Mfn0PTiLoaB3+wGHuOtYogVa/0j94bX4etYQCN6MlluxAbY8H1z4Sw==" saltValue="PgpnW9v9QQZGL0v54CnBPQ==" spinCount="100000" sheet="1" objects="1" scenarios="1" formatCells="0"/>
  <customSheetViews>
    <customSheetView guid="{EDFE284D-223A-49E7-8396-C31999A2537B}">
      <selection activeCell="C3" sqref="C3"/>
      <pageMargins left="0.7" right="0.7" top="0.75" bottom="0.75" header="0.3" footer="0.3"/>
      <pageSetup paperSize="9" orientation="portrait" r:id="rId1"/>
    </customSheetView>
  </customSheetViews>
  <mergeCells count="85">
    <mergeCell ref="F12:F13"/>
    <mergeCell ref="A12:A25"/>
    <mergeCell ref="B12:B13"/>
    <mergeCell ref="C12:C13"/>
    <mergeCell ref="D12:D13"/>
    <mergeCell ref="E12:E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G12:G13"/>
    <mergeCell ref="H12:H13"/>
    <mergeCell ref="I12:I13"/>
    <mergeCell ref="J12:J13"/>
    <mergeCell ref="K12:K13"/>
    <mergeCell ref="G14:G15"/>
    <mergeCell ref="H14:H15"/>
    <mergeCell ref="I14:I15"/>
    <mergeCell ref="J14:J15"/>
    <mergeCell ref="K14:K15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G20:G21"/>
    <mergeCell ref="H20:H21"/>
    <mergeCell ref="I20:I21"/>
    <mergeCell ref="J20:J21"/>
    <mergeCell ref="K20:K21"/>
    <mergeCell ref="I22:I23"/>
    <mergeCell ref="J22:J23"/>
    <mergeCell ref="K22:K23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C26:C27"/>
    <mergeCell ref="D26:D27"/>
    <mergeCell ref="E26:E27"/>
    <mergeCell ref="G22:G23"/>
    <mergeCell ref="H22:H23"/>
    <mergeCell ref="A4:K4"/>
    <mergeCell ref="A1:K2"/>
    <mergeCell ref="C3:G3"/>
    <mergeCell ref="F26:F27"/>
    <mergeCell ref="G26:G27"/>
    <mergeCell ref="H26:H27"/>
    <mergeCell ref="I26:I27"/>
    <mergeCell ref="J26:J27"/>
    <mergeCell ref="K26:K27"/>
    <mergeCell ref="G24:G25"/>
    <mergeCell ref="H24:H25"/>
    <mergeCell ref="I24:I25"/>
    <mergeCell ref="J24:J25"/>
    <mergeCell ref="K24:K25"/>
    <mergeCell ref="A26:A27"/>
    <mergeCell ref="B26:B27"/>
  </mergeCells>
  <dataValidations count="5">
    <dataValidation type="whole" allowBlank="1" showInputMessage="1" showErrorMessage="1" error="Valor= 0 o 1 _x000a_" sqref="E46:K53" xr:uid="{00000000-0002-0000-0100-000000000000}">
      <formula1>0</formula1>
      <formula2>1</formula2>
    </dataValidation>
    <dataValidation type="whole" allowBlank="1" showInputMessage="1" showErrorMessage="1" error="Valor = 0 o 1 " sqref="E12:K15 E34:K35 E39:K39" xr:uid="{00000000-0002-0000-0100-000001000000}">
      <formula1>0</formula1>
      <formula2>1</formula2>
    </dataValidation>
    <dataValidation type="whole" allowBlank="1" showInputMessage="1" showErrorMessage="1" error="Valor=1" sqref="E43:K43" xr:uid="{00000000-0002-0000-0100-000002000000}">
      <formula1>1</formula1>
      <formula2>1</formula2>
    </dataValidation>
    <dataValidation type="whole" allowBlank="1" showInputMessage="1" showErrorMessage="1" error="Valor=0" sqref="E18:K19" xr:uid="{00000000-0002-0000-0100-000003000000}">
      <formula1>0</formula1>
      <formula2>0</formula2>
    </dataValidation>
    <dataValidation type="textLength" allowBlank="1" showInputMessage="1" showErrorMessage="1" error="El format del NIF no és correcte" sqref="C8" xr:uid="{EC631077-B9C9-444B-9591-896D28F7BE8B}">
      <formula1>9</formula1>
      <formula2>9</formula2>
    </dataValidation>
  </dataValidations>
  <pageMargins left="0.7" right="0.7" top="0.75" bottom="0.75" header="0.3" footer="0.3"/>
  <pageSetup paperSize="9" scale="32" fitToHeight="0" orientation="portrait" r:id="rId2"/>
  <headerFooter>
    <oddFooter>&amp;R&amp;7D.71
Versió 1, 19 de febrer de 2018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5"/>
  <sheetViews>
    <sheetView zoomScale="70" zoomScaleNormal="70" workbookViewId="0">
      <selection activeCell="C6" sqref="C6"/>
    </sheetView>
  </sheetViews>
  <sheetFormatPr defaultColWidth="11.42578125" defaultRowHeight="15" x14ac:dyDescent="0.25"/>
  <cols>
    <col min="1" max="1" width="16" style="60" customWidth="1"/>
    <col min="2" max="2" width="21.28515625" style="60" customWidth="1"/>
    <col min="3" max="3" width="115.140625" style="60" customWidth="1"/>
    <col min="4" max="4" width="15.7109375" style="60" customWidth="1"/>
    <col min="5" max="5" width="13.85546875" style="60" customWidth="1"/>
    <col min="6" max="8" width="14" style="60" customWidth="1"/>
    <col min="9" max="11" width="13.85546875" style="60" customWidth="1"/>
    <col min="12" max="16384" width="11.42578125" style="60"/>
  </cols>
  <sheetData>
    <row r="1" spans="1:13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3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3" s="56" customFormat="1" ht="33" customHeight="1" x14ac:dyDescent="0.4">
      <c r="A3" s="57"/>
      <c r="B3" s="57"/>
      <c r="C3" s="85" t="s">
        <v>91</v>
      </c>
      <c r="D3" s="85"/>
      <c r="E3" s="85"/>
      <c r="F3" s="85"/>
      <c r="G3" s="85"/>
      <c r="H3" s="57"/>
      <c r="I3" s="57"/>
      <c r="J3" s="57"/>
      <c r="K3" s="57"/>
    </row>
    <row r="4" spans="1:13" ht="24.75" customHeight="1" thickBot="1" x14ac:dyDescent="0.3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3" ht="16.5" thickBot="1" x14ac:dyDescent="0.3">
      <c r="B5" s="58" t="s">
        <v>82</v>
      </c>
      <c r="C5" s="79">
        <f>codiexp1</f>
        <v>0</v>
      </c>
    </row>
    <row r="6" spans="1:13" ht="19.5" thickBot="1" x14ac:dyDescent="0.35">
      <c r="B6" s="58" t="s">
        <v>83</v>
      </c>
      <c r="C6" s="131" t="str">
        <f>+CONCATENATE(C5,"-02")</f>
        <v>0-02</v>
      </c>
    </row>
    <row r="7" spans="1:13" ht="16.5" thickBot="1" x14ac:dyDescent="0.3">
      <c r="B7" s="58" t="s">
        <v>0</v>
      </c>
      <c r="C7" s="20"/>
    </row>
    <row r="8" spans="1:13" ht="16.5" thickBot="1" x14ac:dyDescent="0.3">
      <c r="B8" s="58" t="s">
        <v>80</v>
      </c>
      <c r="C8" s="20"/>
    </row>
    <row r="9" spans="1:13" ht="16.5" thickBot="1" x14ac:dyDescent="0.3">
      <c r="B9" s="58" t="s">
        <v>84</v>
      </c>
      <c r="C9" s="113">
        <f>justificacio</f>
        <v>0</v>
      </c>
    </row>
    <row r="10" spans="1:13" ht="15.75" thickBot="1" x14ac:dyDescent="0.3">
      <c r="B10" s="122"/>
    </row>
    <row r="11" spans="1:13" ht="32.25" thickBot="1" x14ac:dyDescent="0.3">
      <c r="A11" s="58" t="s">
        <v>90</v>
      </c>
      <c r="B11" s="58" t="s">
        <v>1</v>
      </c>
      <c r="C11" s="61" t="s">
        <v>2</v>
      </c>
      <c r="D11" s="61" t="s">
        <v>3</v>
      </c>
      <c r="E11" s="62">
        <v>2017</v>
      </c>
      <c r="F11" s="62">
        <v>2018</v>
      </c>
      <c r="G11" s="62">
        <v>2019</v>
      </c>
      <c r="H11" s="62">
        <v>2020</v>
      </c>
      <c r="I11" s="62">
        <v>2021</v>
      </c>
      <c r="J11" s="62">
        <v>2022</v>
      </c>
      <c r="K11" s="62">
        <v>2023</v>
      </c>
    </row>
    <row r="12" spans="1:13" x14ac:dyDescent="0.25">
      <c r="A12" s="123" t="s">
        <v>4</v>
      </c>
      <c r="B12" s="94" t="s">
        <v>5</v>
      </c>
      <c r="C12" s="90" t="s">
        <v>6</v>
      </c>
      <c r="D12" s="90" t="s">
        <v>7</v>
      </c>
      <c r="E12" s="100"/>
      <c r="F12" s="99"/>
      <c r="G12" s="99"/>
      <c r="H12" s="99"/>
      <c r="I12" s="99"/>
      <c r="J12" s="99"/>
      <c r="K12" s="99"/>
      <c r="L12" s="124"/>
      <c r="M12" s="124"/>
    </row>
    <row r="13" spans="1:13" ht="15.75" thickBot="1" x14ac:dyDescent="0.3">
      <c r="A13" s="125"/>
      <c r="B13" s="95"/>
      <c r="C13" s="91"/>
      <c r="D13" s="91"/>
      <c r="E13" s="100"/>
      <c r="F13" s="99"/>
      <c r="G13" s="99"/>
      <c r="H13" s="99"/>
      <c r="I13" s="99"/>
      <c r="J13" s="99"/>
      <c r="K13" s="99"/>
      <c r="L13" s="124"/>
      <c r="M13" s="124"/>
    </row>
    <row r="14" spans="1:13" x14ac:dyDescent="0.25">
      <c r="A14" s="125"/>
      <c r="B14" s="94" t="s">
        <v>8</v>
      </c>
      <c r="C14" s="90" t="s">
        <v>9</v>
      </c>
      <c r="D14" s="90" t="s">
        <v>10</v>
      </c>
      <c r="E14" s="100"/>
      <c r="F14" s="99"/>
      <c r="G14" s="99"/>
      <c r="H14" s="99"/>
      <c r="I14" s="99"/>
      <c r="J14" s="99"/>
      <c r="K14" s="99"/>
      <c r="L14" s="124"/>
      <c r="M14" s="124"/>
    </row>
    <row r="15" spans="1:13" ht="15.75" thickBot="1" x14ac:dyDescent="0.3">
      <c r="A15" s="125"/>
      <c r="B15" s="95"/>
      <c r="C15" s="91"/>
      <c r="D15" s="91"/>
      <c r="E15" s="100"/>
      <c r="F15" s="99"/>
      <c r="G15" s="99"/>
      <c r="H15" s="99"/>
      <c r="I15" s="99"/>
      <c r="J15" s="99"/>
      <c r="K15" s="99"/>
      <c r="L15" s="124"/>
      <c r="M15" s="124"/>
    </row>
    <row r="16" spans="1:13" x14ac:dyDescent="0.25">
      <c r="A16" s="125"/>
      <c r="B16" s="94" t="s">
        <v>11</v>
      </c>
      <c r="C16" s="90" t="s">
        <v>12</v>
      </c>
      <c r="D16" s="90" t="s">
        <v>13</v>
      </c>
      <c r="E16" s="100"/>
      <c r="F16" s="99"/>
      <c r="G16" s="99"/>
      <c r="H16" s="99"/>
      <c r="I16" s="99"/>
      <c r="J16" s="99"/>
      <c r="K16" s="99"/>
      <c r="L16" s="124"/>
      <c r="M16" s="124"/>
    </row>
    <row r="17" spans="1:13" ht="15.75" thickBot="1" x14ac:dyDescent="0.3">
      <c r="A17" s="125"/>
      <c r="B17" s="95"/>
      <c r="C17" s="91"/>
      <c r="D17" s="91"/>
      <c r="E17" s="100"/>
      <c r="F17" s="99"/>
      <c r="G17" s="99"/>
      <c r="H17" s="99"/>
      <c r="I17" s="99"/>
      <c r="J17" s="99"/>
      <c r="K17" s="99"/>
      <c r="L17" s="124"/>
      <c r="M17" s="124"/>
    </row>
    <row r="18" spans="1:13" x14ac:dyDescent="0.25">
      <c r="A18" s="125"/>
      <c r="B18" s="94" t="s">
        <v>14</v>
      </c>
      <c r="C18" s="90" t="s">
        <v>15</v>
      </c>
      <c r="D18" s="90" t="s">
        <v>16</v>
      </c>
      <c r="E18" s="100"/>
      <c r="F18" s="99"/>
      <c r="G18" s="99"/>
      <c r="H18" s="99"/>
      <c r="I18" s="99"/>
      <c r="J18" s="99"/>
      <c r="K18" s="99"/>
      <c r="L18" s="124"/>
      <c r="M18" s="124"/>
    </row>
    <row r="19" spans="1:13" ht="15.75" thickBot="1" x14ac:dyDescent="0.3">
      <c r="A19" s="125"/>
      <c r="B19" s="95"/>
      <c r="C19" s="91"/>
      <c r="D19" s="91"/>
      <c r="E19" s="100"/>
      <c r="F19" s="99"/>
      <c r="G19" s="99"/>
      <c r="H19" s="99"/>
      <c r="I19" s="99"/>
      <c r="J19" s="99"/>
      <c r="K19" s="99"/>
      <c r="L19" s="124"/>
      <c r="M19" s="124"/>
    </row>
    <row r="20" spans="1:13" x14ac:dyDescent="0.25">
      <c r="A20" s="125"/>
      <c r="B20" s="94" t="s">
        <v>17</v>
      </c>
      <c r="C20" s="90" t="s">
        <v>18</v>
      </c>
      <c r="D20" s="90" t="s">
        <v>19</v>
      </c>
      <c r="E20" s="100"/>
      <c r="F20" s="99"/>
      <c r="G20" s="99"/>
      <c r="H20" s="99"/>
      <c r="I20" s="99"/>
      <c r="J20" s="99"/>
      <c r="K20" s="99"/>
      <c r="L20" s="124"/>
      <c r="M20" s="124"/>
    </row>
    <row r="21" spans="1:13" ht="15.75" thickBot="1" x14ac:dyDescent="0.3">
      <c r="A21" s="125"/>
      <c r="B21" s="95"/>
      <c r="C21" s="91"/>
      <c r="D21" s="91"/>
      <c r="E21" s="100"/>
      <c r="F21" s="99"/>
      <c r="G21" s="99"/>
      <c r="H21" s="99"/>
      <c r="I21" s="99"/>
      <c r="J21" s="99"/>
      <c r="K21" s="99"/>
      <c r="L21" s="124"/>
      <c r="M21" s="124"/>
    </row>
    <row r="22" spans="1:13" x14ac:dyDescent="0.25">
      <c r="A22" s="125"/>
      <c r="B22" s="94" t="s">
        <v>20</v>
      </c>
      <c r="C22" s="90" t="s">
        <v>21</v>
      </c>
      <c r="D22" s="90" t="s">
        <v>22</v>
      </c>
      <c r="E22" s="101"/>
      <c r="F22" s="99"/>
      <c r="G22" s="99"/>
      <c r="H22" s="99"/>
      <c r="I22" s="99"/>
      <c r="J22" s="99"/>
      <c r="K22" s="99"/>
      <c r="L22" s="124"/>
      <c r="M22" s="124"/>
    </row>
    <row r="23" spans="1:13" ht="15.75" thickBot="1" x14ac:dyDescent="0.3">
      <c r="A23" s="125"/>
      <c r="B23" s="95"/>
      <c r="C23" s="91"/>
      <c r="D23" s="91"/>
      <c r="E23" s="101"/>
      <c r="F23" s="99"/>
      <c r="G23" s="99"/>
      <c r="H23" s="99"/>
      <c r="I23" s="99"/>
      <c r="J23" s="99"/>
      <c r="K23" s="99"/>
      <c r="L23" s="124"/>
      <c r="M23" s="124"/>
    </row>
    <row r="24" spans="1:13" x14ac:dyDescent="0.25">
      <c r="A24" s="125"/>
      <c r="B24" s="94" t="s">
        <v>23</v>
      </c>
      <c r="C24" s="90" t="s">
        <v>24</v>
      </c>
      <c r="D24" s="90" t="s">
        <v>19</v>
      </c>
      <c r="E24" s="100"/>
      <c r="F24" s="99"/>
      <c r="G24" s="99"/>
      <c r="H24" s="99"/>
      <c r="I24" s="99"/>
      <c r="J24" s="99"/>
      <c r="K24" s="99"/>
      <c r="L24" s="124"/>
      <c r="M24" s="124"/>
    </row>
    <row r="25" spans="1:13" ht="15.75" thickBot="1" x14ac:dyDescent="0.3">
      <c r="A25" s="126"/>
      <c r="B25" s="95"/>
      <c r="C25" s="91"/>
      <c r="D25" s="91"/>
      <c r="E25" s="100"/>
      <c r="F25" s="99"/>
      <c r="G25" s="99"/>
      <c r="H25" s="99"/>
      <c r="I25" s="99"/>
      <c r="J25" s="99"/>
      <c r="K25" s="99"/>
      <c r="L25" s="124"/>
      <c r="M25" s="124"/>
    </row>
    <row r="26" spans="1:13" x14ac:dyDescent="0.25">
      <c r="A26" s="123" t="s">
        <v>25</v>
      </c>
      <c r="B26" s="90" t="s">
        <v>26</v>
      </c>
      <c r="C26" s="90" t="s">
        <v>27</v>
      </c>
      <c r="D26" s="90" t="s">
        <v>13</v>
      </c>
      <c r="E26" s="100"/>
      <c r="F26" s="99"/>
      <c r="G26" s="99"/>
      <c r="H26" s="99"/>
      <c r="I26" s="99"/>
      <c r="J26" s="99"/>
      <c r="K26" s="99"/>
      <c r="L26" s="124"/>
      <c r="M26" s="124"/>
    </row>
    <row r="27" spans="1:13" ht="15.75" thickBot="1" x14ac:dyDescent="0.3">
      <c r="A27" s="126"/>
      <c r="B27" s="91"/>
      <c r="C27" s="91"/>
      <c r="D27" s="91"/>
      <c r="E27" s="100"/>
      <c r="F27" s="99"/>
      <c r="G27" s="99"/>
      <c r="H27" s="99"/>
      <c r="I27" s="99"/>
      <c r="J27" s="99"/>
      <c r="K27" s="99"/>
      <c r="L27" s="124"/>
      <c r="M27" s="124"/>
    </row>
    <row r="28" spans="1:13" ht="32.25" thickBot="1" x14ac:dyDescent="0.3">
      <c r="A28" s="58" t="s">
        <v>89</v>
      </c>
      <c r="B28" s="58" t="s">
        <v>1</v>
      </c>
      <c r="C28" s="61" t="s">
        <v>2</v>
      </c>
      <c r="D28" s="61" t="s">
        <v>3</v>
      </c>
      <c r="E28" s="62">
        <v>2017</v>
      </c>
      <c r="F28" s="62">
        <v>2018</v>
      </c>
      <c r="G28" s="62">
        <v>2019</v>
      </c>
      <c r="H28" s="62">
        <v>2020</v>
      </c>
      <c r="I28" s="62">
        <v>2021</v>
      </c>
      <c r="J28" s="62">
        <v>2022</v>
      </c>
      <c r="K28" s="62">
        <v>2023</v>
      </c>
      <c r="L28" s="124"/>
      <c r="M28" s="124"/>
    </row>
    <row r="29" spans="1:13" ht="25.5" customHeight="1" thickBot="1" x14ac:dyDescent="0.3">
      <c r="B29" s="66" t="s">
        <v>28</v>
      </c>
      <c r="C29" s="65" t="s">
        <v>29</v>
      </c>
      <c r="D29" s="66" t="s">
        <v>13</v>
      </c>
      <c r="E29" s="34"/>
      <c r="F29" s="35"/>
      <c r="G29" s="35"/>
      <c r="H29" s="35"/>
      <c r="I29" s="35"/>
      <c r="J29" s="35"/>
      <c r="K29" s="35"/>
      <c r="L29" s="124"/>
      <c r="M29" s="124"/>
    </row>
    <row r="30" spans="1:13" ht="25.5" customHeight="1" thickBot="1" x14ac:dyDescent="0.3">
      <c r="B30" s="69" t="s">
        <v>30</v>
      </c>
      <c r="C30" s="68" t="s">
        <v>31</v>
      </c>
      <c r="D30" s="66" t="s">
        <v>13</v>
      </c>
      <c r="E30" s="34"/>
      <c r="F30" s="35"/>
      <c r="G30" s="35"/>
      <c r="H30" s="35"/>
      <c r="I30" s="35"/>
      <c r="J30" s="35"/>
      <c r="K30" s="35"/>
      <c r="L30" s="124"/>
      <c r="M30" s="124"/>
    </row>
    <row r="31" spans="1:13" ht="25.5" customHeight="1" thickBot="1" x14ac:dyDescent="0.3">
      <c r="B31" s="72" t="s">
        <v>32</v>
      </c>
      <c r="C31" s="68" t="s">
        <v>33</v>
      </c>
      <c r="D31" s="69" t="s">
        <v>16</v>
      </c>
      <c r="E31" s="36"/>
      <c r="F31" s="37"/>
      <c r="G31" s="37"/>
      <c r="H31" s="37"/>
      <c r="I31" s="37"/>
      <c r="J31" s="37"/>
      <c r="K31" s="37"/>
      <c r="L31" s="124"/>
      <c r="M31" s="124"/>
    </row>
    <row r="32" spans="1:13" ht="25.5" customHeight="1" thickBot="1" x14ac:dyDescent="0.3">
      <c r="B32" s="72" t="s">
        <v>34</v>
      </c>
      <c r="C32" s="68" t="s">
        <v>35</v>
      </c>
      <c r="D32" s="69" t="s">
        <v>16</v>
      </c>
      <c r="E32" s="38"/>
      <c r="F32" s="39"/>
      <c r="G32" s="39"/>
      <c r="H32" s="39"/>
      <c r="I32" s="39"/>
      <c r="J32" s="39"/>
      <c r="K32" s="39"/>
      <c r="L32" s="124"/>
      <c r="M32" s="124"/>
    </row>
    <row r="33" spans="2:13" ht="25.5" customHeight="1" thickBot="1" x14ac:dyDescent="0.3">
      <c r="B33" s="72" t="s">
        <v>36</v>
      </c>
      <c r="C33" s="68" t="s">
        <v>37</v>
      </c>
      <c r="D33" s="69" t="s">
        <v>16</v>
      </c>
      <c r="E33" s="40"/>
      <c r="F33" s="41"/>
      <c r="G33" s="41"/>
      <c r="H33" s="41"/>
      <c r="I33" s="41"/>
      <c r="J33" s="41"/>
      <c r="K33" s="41"/>
      <c r="L33" s="124"/>
      <c r="M33" s="124"/>
    </row>
    <row r="34" spans="2:13" ht="25.5" customHeight="1" thickBot="1" x14ac:dyDescent="0.3">
      <c r="B34" s="72" t="s">
        <v>38</v>
      </c>
      <c r="C34" s="71" t="s">
        <v>39</v>
      </c>
      <c r="D34" s="69" t="s">
        <v>16</v>
      </c>
      <c r="E34" s="42"/>
      <c r="F34" s="43"/>
      <c r="G34" s="43"/>
      <c r="H34" s="43"/>
      <c r="I34" s="43"/>
      <c r="J34" s="43"/>
      <c r="K34" s="43"/>
      <c r="L34" s="124"/>
      <c r="M34" s="124"/>
    </row>
    <row r="35" spans="2:13" ht="25.5" customHeight="1" thickBot="1" x14ac:dyDescent="0.3">
      <c r="B35" s="72" t="s">
        <v>40</v>
      </c>
      <c r="C35" s="71" t="s">
        <v>41</v>
      </c>
      <c r="D35" s="69" t="s">
        <v>16</v>
      </c>
      <c r="E35" s="40"/>
      <c r="F35" s="41"/>
      <c r="G35" s="41"/>
      <c r="H35" s="41"/>
      <c r="I35" s="41"/>
      <c r="J35" s="41"/>
      <c r="K35" s="41"/>
      <c r="L35" s="124"/>
      <c r="M35" s="124"/>
    </row>
    <row r="36" spans="2:13" ht="25.5" customHeight="1" thickBot="1" x14ac:dyDescent="0.3">
      <c r="B36" s="72" t="s">
        <v>42</v>
      </c>
      <c r="C36" s="68" t="s">
        <v>43</v>
      </c>
      <c r="D36" s="72" t="s">
        <v>16</v>
      </c>
      <c r="E36" s="44"/>
      <c r="F36" s="45"/>
      <c r="G36" s="45"/>
      <c r="H36" s="45"/>
      <c r="I36" s="45"/>
      <c r="J36" s="45"/>
      <c r="K36" s="45"/>
      <c r="L36" s="124"/>
      <c r="M36" s="124"/>
    </row>
    <row r="37" spans="2:13" ht="25.5" customHeight="1" thickBot="1" x14ac:dyDescent="0.3">
      <c r="B37" s="72" t="s">
        <v>44</v>
      </c>
      <c r="C37" s="68" t="s">
        <v>45</v>
      </c>
      <c r="D37" s="73" t="s">
        <v>16</v>
      </c>
      <c r="E37" s="42"/>
      <c r="F37" s="43"/>
      <c r="G37" s="43"/>
      <c r="H37" s="43"/>
      <c r="I37" s="43"/>
      <c r="J37" s="43"/>
      <c r="K37" s="43"/>
      <c r="L37" s="124"/>
      <c r="M37" s="124"/>
    </row>
    <row r="38" spans="2:13" ht="25.5" customHeight="1" thickBot="1" x14ac:dyDescent="0.3">
      <c r="B38" s="72" t="s">
        <v>46</v>
      </c>
      <c r="C38" s="68" t="s">
        <v>47</v>
      </c>
      <c r="D38" s="72" t="s">
        <v>16</v>
      </c>
      <c r="E38" s="46"/>
      <c r="F38" s="47"/>
      <c r="G38" s="47"/>
      <c r="H38" s="47"/>
      <c r="I38" s="47"/>
      <c r="J38" s="47"/>
      <c r="K38" s="47"/>
      <c r="L38" s="124"/>
      <c r="M38" s="124"/>
    </row>
    <row r="39" spans="2:13" ht="25.5" customHeight="1" thickBot="1" x14ac:dyDescent="0.3">
      <c r="B39" s="72" t="s">
        <v>48</v>
      </c>
      <c r="C39" s="68" t="s">
        <v>49</v>
      </c>
      <c r="D39" s="74" t="s">
        <v>16</v>
      </c>
      <c r="E39" s="44"/>
      <c r="F39" s="45"/>
      <c r="G39" s="45"/>
      <c r="H39" s="45"/>
      <c r="I39" s="45"/>
      <c r="J39" s="45"/>
      <c r="K39" s="45"/>
      <c r="L39" s="124"/>
      <c r="M39" s="124"/>
    </row>
    <row r="40" spans="2:13" ht="25.5" customHeight="1" thickBot="1" x14ac:dyDescent="0.3">
      <c r="B40" s="72" t="s">
        <v>50</v>
      </c>
      <c r="C40" s="68" t="s">
        <v>51</v>
      </c>
      <c r="D40" s="74" t="s">
        <v>16</v>
      </c>
      <c r="E40" s="40"/>
      <c r="F40" s="41"/>
      <c r="G40" s="41"/>
      <c r="H40" s="41"/>
      <c r="I40" s="41"/>
      <c r="J40" s="41"/>
      <c r="K40" s="41"/>
      <c r="L40" s="124"/>
      <c r="M40" s="124"/>
    </row>
    <row r="41" spans="2:13" ht="25.5" customHeight="1" thickBot="1" x14ac:dyDescent="0.3">
      <c r="B41" s="72" t="s">
        <v>52</v>
      </c>
      <c r="C41" s="68" t="s">
        <v>53</v>
      </c>
      <c r="D41" s="72" t="s">
        <v>16</v>
      </c>
      <c r="E41" s="44"/>
      <c r="F41" s="45"/>
      <c r="G41" s="45"/>
      <c r="H41" s="45"/>
      <c r="I41" s="45"/>
      <c r="J41" s="45"/>
      <c r="K41" s="45"/>
      <c r="L41" s="124"/>
      <c r="M41" s="124"/>
    </row>
    <row r="42" spans="2:13" ht="25.5" customHeight="1" thickBot="1" x14ac:dyDescent="0.3">
      <c r="B42" s="72" t="s">
        <v>54</v>
      </c>
      <c r="C42" s="68" t="s">
        <v>55</v>
      </c>
      <c r="D42" s="72" t="s">
        <v>16</v>
      </c>
      <c r="E42" s="48"/>
      <c r="F42" s="49"/>
      <c r="G42" s="49"/>
      <c r="H42" s="49"/>
      <c r="I42" s="49"/>
      <c r="J42" s="49"/>
      <c r="K42" s="49"/>
      <c r="L42" s="124"/>
      <c r="M42" s="124"/>
    </row>
    <row r="43" spans="2:13" ht="25.5" customHeight="1" thickBot="1" x14ac:dyDescent="0.3">
      <c r="B43" s="72" t="s">
        <v>56</v>
      </c>
      <c r="C43" s="68" t="s">
        <v>57</v>
      </c>
      <c r="D43" s="72" t="s">
        <v>16</v>
      </c>
      <c r="E43" s="42"/>
      <c r="F43" s="42"/>
      <c r="G43" s="42"/>
      <c r="H43" s="42"/>
      <c r="I43" s="42"/>
      <c r="J43" s="42"/>
      <c r="K43" s="42"/>
      <c r="L43" s="124"/>
      <c r="M43" s="124"/>
    </row>
    <row r="44" spans="2:13" ht="25.5" customHeight="1" thickBot="1" x14ac:dyDescent="0.3">
      <c r="B44" s="72" t="s">
        <v>58</v>
      </c>
      <c r="C44" s="68" t="s">
        <v>59</v>
      </c>
      <c r="D44" s="72" t="s">
        <v>16</v>
      </c>
      <c r="E44" s="44"/>
      <c r="F44" s="45"/>
      <c r="G44" s="45"/>
      <c r="H44" s="45"/>
      <c r="I44" s="45"/>
      <c r="J44" s="45"/>
      <c r="K44" s="45"/>
      <c r="L44" s="124"/>
      <c r="M44" s="124"/>
    </row>
    <row r="45" spans="2:13" ht="25.5" customHeight="1" thickBot="1" x14ac:dyDescent="0.3">
      <c r="B45" s="72" t="s">
        <v>60</v>
      </c>
      <c r="C45" s="68" t="s">
        <v>61</v>
      </c>
      <c r="D45" s="72" t="s">
        <v>16</v>
      </c>
      <c r="E45" s="40"/>
      <c r="F45" s="41"/>
      <c r="G45" s="41"/>
      <c r="H45" s="41"/>
      <c r="I45" s="41"/>
      <c r="J45" s="41"/>
      <c r="K45" s="41"/>
      <c r="L45" s="124"/>
      <c r="M45" s="124"/>
    </row>
    <row r="46" spans="2:13" ht="25.5" customHeight="1" thickBot="1" x14ac:dyDescent="0.3">
      <c r="B46" s="72" t="s">
        <v>62</v>
      </c>
      <c r="C46" s="68" t="s">
        <v>63</v>
      </c>
      <c r="D46" s="72" t="s">
        <v>16</v>
      </c>
      <c r="E46" s="44"/>
      <c r="F46" s="45"/>
      <c r="G46" s="45"/>
      <c r="H46" s="45"/>
      <c r="I46" s="45"/>
      <c r="J46" s="45"/>
      <c r="K46" s="45"/>
      <c r="L46" s="124"/>
      <c r="M46" s="124"/>
    </row>
    <row r="47" spans="2:13" ht="25.5" customHeight="1" thickBot="1" x14ac:dyDescent="0.3">
      <c r="B47" s="72" t="s">
        <v>64</v>
      </c>
      <c r="C47" s="68" t="s">
        <v>65</v>
      </c>
      <c r="D47" s="72" t="s">
        <v>16</v>
      </c>
      <c r="E47" s="40"/>
      <c r="F47" s="41"/>
      <c r="G47" s="41"/>
      <c r="H47" s="41"/>
      <c r="I47" s="41"/>
      <c r="J47" s="41"/>
      <c r="K47" s="41"/>
      <c r="L47" s="124"/>
      <c r="M47" s="124"/>
    </row>
    <row r="48" spans="2:13" ht="25.5" customHeight="1" thickBot="1" x14ac:dyDescent="0.3">
      <c r="B48" s="76" t="s">
        <v>66</v>
      </c>
      <c r="C48" s="68" t="s">
        <v>67</v>
      </c>
      <c r="D48" s="76" t="s">
        <v>16</v>
      </c>
      <c r="E48" s="42"/>
      <c r="F48" s="43"/>
      <c r="G48" s="43"/>
      <c r="H48" s="43"/>
      <c r="I48" s="43"/>
      <c r="J48" s="43"/>
      <c r="K48" s="43"/>
      <c r="L48" s="124"/>
      <c r="M48" s="124"/>
    </row>
    <row r="49" spans="2:13" ht="25.5" customHeight="1" thickBot="1" x14ac:dyDescent="0.3">
      <c r="B49" s="77" t="s">
        <v>68</v>
      </c>
      <c r="C49" s="68" t="s">
        <v>69</v>
      </c>
      <c r="D49" s="77" t="s">
        <v>16</v>
      </c>
      <c r="E49" s="40"/>
      <c r="F49" s="41"/>
      <c r="G49" s="41"/>
      <c r="H49" s="41"/>
      <c r="I49" s="41"/>
      <c r="J49" s="41"/>
      <c r="K49" s="41"/>
      <c r="L49" s="124"/>
      <c r="M49" s="124"/>
    </row>
    <row r="50" spans="2:13" ht="25.5" customHeight="1" thickBot="1" x14ac:dyDescent="0.3">
      <c r="B50" s="72" t="s">
        <v>70</v>
      </c>
      <c r="C50" s="68" t="s">
        <v>71</v>
      </c>
      <c r="D50" s="69" t="s">
        <v>16</v>
      </c>
      <c r="E50" s="46"/>
      <c r="F50" s="47"/>
      <c r="G50" s="47"/>
      <c r="H50" s="47"/>
      <c r="I50" s="47"/>
      <c r="J50" s="47"/>
      <c r="K50" s="47"/>
      <c r="L50" s="124"/>
      <c r="M50" s="124"/>
    </row>
    <row r="51" spans="2:13" ht="25.5" customHeight="1" thickBot="1" x14ac:dyDescent="0.3">
      <c r="B51" s="72" t="s">
        <v>72</v>
      </c>
      <c r="C51" s="68" t="s">
        <v>73</v>
      </c>
      <c r="D51" s="69" t="s">
        <v>16</v>
      </c>
      <c r="E51" s="44"/>
      <c r="F51" s="45"/>
      <c r="G51" s="45"/>
      <c r="H51" s="45"/>
      <c r="I51" s="45"/>
      <c r="J51" s="45"/>
      <c r="K51" s="45"/>
      <c r="L51" s="124"/>
      <c r="M51" s="124"/>
    </row>
    <row r="52" spans="2:13" ht="25.5" customHeight="1" thickBot="1" x14ac:dyDescent="0.3">
      <c r="B52" s="72" t="s">
        <v>74</v>
      </c>
      <c r="C52" s="68" t="s">
        <v>75</v>
      </c>
      <c r="D52" s="69" t="s">
        <v>16</v>
      </c>
      <c r="E52" s="42"/>
      <c r="F52" s="43"/>
      <c r="G52" s="43"/>
      <c r="H52" s="43"/>
      <c r="I52" s="43"/>
      <c r="J52" s="43"/>
      <c r="K52" s="43"/>
      <c r="L52" s="124"/>
      <c r="M52" s="124"/>
    </row>
    <row r="53" spans="2:13" ht="25.5" customHeight="1" thickBot="1" x14ac:dyDescent="0.3">
      <c r="B53" s="72" t="s">
        <v>76</v>
      </c>
      <c r="C53" s="75" t="s">
        <v>77</v>
      </c>
      <c r="D53" s="69" t="s">
        <v>16</v>
      </c>
      <c r="E53" s="83"/>
      <c r="F53" s="84"/>
      <c r="G53" s="84"/>
      <c r="H53" s="84"/>
      <c r="I53" s="84"/>
      <c r="J53" s="84"/>
      <c r="K53" s="84"/>
      <c r="L53" s="124"/>
      <c r="M53" s="124"/>
    </row>
    <row r="54" spans="2:13" x14ac:dyDescent="0.25">
      <c r="B54" s="127"/>
      <c r="E54" s="124"/>
      <c r="F54" s="124"/>
      <c r="G54" s="124"/>
      <c r="H54" s="124"/>
      <c r="I54" s="124"/>
      <c r="J54" s="124"/>
      <c r="K54" s="124"/>
      <c r="L54" s="124"/>
      <c r="M54" s="124"/>
    </row>
    <row r="55" spans="2:13" x14ac:dyDescent="0.25">
      <c r="E55" s="124"/>
      <c r="F55" s="124"/>
      <c r="G55" s="124"/>
      <c r="H55" s="124"/>
      <c r="I55" s="124"/>
      <c r="J55" s="124"/>
      <c r="K55" s="124"/>
      <c r="L55" s="124"/>
      <c r="M55" s="124"/>
    </row>
  </sheetData>
  <sheetProtection algorithmName="SHA-512" hashValue="Vq6MTw5fMQg/K9FBh/psxP1W1pcPlGxtqhDoW+2pzfxathfslrKjh0tcTMJZ/klUcmVRCYyGNYOrUULjLUyLbQ==" saltValue="1TpQofaMvF5oUW9HZqpuVQ==" spinCount="100000" sheet="1" objects="1" scenarios="1" formatCells="0"/>
  <customSheetViews>
    <customSheetView guid="{EDFE284D-223A-49E7-8396-C31999A2537B}">
      <selection activeCell="C3" sqref="C3"/>
      <pageMargins left="0.7" right="0.7" top="0.75" bottom="0.75" header="0.3" footer="0.3"/>
    </customSheetView>
  </customSheetViews>
  <mergeCells count="85">
    <mergeCell ref="F12:F13"/>
    <mergeCell ref="A12:A25"/>
    <mergeCell ref="B12:B13"/>
    <mergeCell ref="C12:C13"/>
    <mergeCell ref="D12:D13"/>
    <mergeCell ref="E12:E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G12:G13"/>
    <mergeCell ref="H12:H13"/>
    <mergeCell ref="I12:I13"/>
    <mergeCell ref="J12:J13"/>
    <mergeCell ref="K12:K13"/>
    <mergeCell ref="G14:G15"/>
    <mergeCell ref="H14:H15"/>
    <mergeCell ref="I14:I15"/>
    <mergeCell ref="J14:J15"/>
    <mergeCell ref="K14:K15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G20:G21"/>
    <mergeCell ref="H20:H21"/>
    <mergeCell ref="I20:I21"/>
    <mergeCell ref="J20:J21"/>
    <mergeCell ref="K20:K21"/>
    <mergeCell ref="I22:I23"/>
    <mergeCell ref="J22:J23"/>
    <mergeCell ref="K22:K23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C26:C27"/>
    <mergeCell ref="D26:D27"/>
    <mergeCell ref="E26:E27"/>
    <mergeCell ref="G22:G23"/>
    <mergeCell ref="H22:H23"/>
    <mergeCell ref="C3:G3"/>
    <mergeCell ref="A4:K4"/>
    <mergeCell ref="A1:K2"/>
    <mergeCell ref="F26:F27"/>
    <mergeCell ref="G26:G27"/>
    <mergeCell ref="H26:H27"/>
    <mergeCell ref="I26:I27"/>
    <mergeCell ref="J26:J27"/>
    <mergeCell ref="K26:K27"/>
    <mergeCell ref="G24:G25"/>
    <mergeCell ref="H24:H25"/>
    <mergeCell ref="I24:I25"/>
    <mergeCell ref="J24:J25"/>
    <mergeCell ref="K24:K25"/>
    <mergeCell ref="A26:A27"/>
    <mergeCell ref="B26:B27"/>
  </mergeCells>
  <dataValidations count="6">
    <dataValidation type="whole" allowBlank="1" showInputMessage="1" showErrorMessage="1" error="Valor= 0 o 1" sqref="E46:K53" xr:uid="{00000000-0002-0000-0200-000000000000}">
      <formula1>0</formula1>
      <formula2>1</formula2>
    </dataValidation>
    <dataValidation type="whole" allowBlank="1" showInputMessage="1" showErrorMessage="1" error="Valor=1" sqref="E43:K43" xr:uid="{00000000-0002-0000-0200-000001000000}">
      <formula1>1</formula1>
      <formula2>1</formula2>
    </dataValidation>
    <dataValidation type="whole" allowBlank="1" showInputMessage="1" showErrorMessage="1" error="Valor=0 o 1 " sqref="E39:K39" xr:uid="{00000000-0002-0000-0200-000002000000}">
      <formula1>0</formula1>
      <formula2>1</formula2>
    </dataValidation>
    <dataValidation type="whole" allowBlank="1" showInputMessage="1" showErrorMessage="1" error="Valor= 0 o 1 " sqref="E34:K35 E12:K15" xr:uid="{00000000-0002-0000-0200-000003000000}">
      <formula1>0</formula1>
      <formula2>1</formula2>
    </dataValidation>
    <dataValidation type="decimal" allowBlank="1" showInputMessage="1" showErrorMessage="1" error="Valor=0" sqref="E18:K19" xr:uid="{00000000-0002-0000-0200-000004000000}">
      <formula1>0</formula1>
      <formula2>0</formula2>
    </dataValidation>
    <dataValidation type="textLength" allowBlank="1" showInputMessage="1" showErrorMessage="1" sqref="C6" xr:uid="{9E998F4B-253A-4B18-8FDB-C1DFA2813743}">
      <formula1>9</formula1>
      <formula2>9</formula2>
    </dataValidation>
  </dataValidations>
  <pageMargins left="0.7" right="0.7" top="0.75" bottom="0.75" header="0.3" footer="0.3"/>
  <pageSetup paperSize="9" scale="32" fitToHeight="0" orientation="portrait" r:id="rId1"/>
  <headerFooter>
    <oddFooter>&amp;R&amp;7D.71
Versió 1, 19 de febrer de 2018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56"/>
  <sheetViews>
    <sheetView zoomScale="70" zoomScaleNormal="70" workbookViewId="0">
      <selection sqref="A1:XFD1048576"/>
    </sheetView>
  </sheetViews>
  <sheetFormatPr defaultColWidth="11.42578125" defaultRowHeight="15" x14ac:dyDescent="0.25"/>
  <cols>
    <col min="1" max="1" width="16.5703125" style="60" customWidth="1"/>
    <col min="2" max="2" width="21.28515625" style="60" customWidth="1"/>
    <col min="3" max="3" width="112.7109375" style="60" customWidth="1"/>
    <col min="4" max="4" width="15.7109375" style="60" customWidth="1"/>
    <col min="5" max="11" width="13.85546875" style="60" customWidth="1"/>
    <col min="12" max="12" width="11.42578125" style="60" customWidth="1"/>
    <col min="13" max="16384" width="11.42578125" style="60"/>
  </cols>
  <sheetData>
    <row r="1" spans="1:53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53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53" ht="30.75" customHeight="1" x14ac:dyDescent="0.4">
      <c r="A3" s="57"/>
      <c r="B3" s="57"/>
      <c r="C3" s="85" t="s">
        <v>91</v>
      </c>
      <c r="D3" s="85"/>
      <c r="E3" s="85"/>
      <c r="F3" s="85"/>
      <c r="G3" s="85"/>
      <c r="H3" s="57"/>
      <c r="I3" s="57"/>
      <c r="J3" s="57"/>
      <c r="K3" s="57"/>
    </row>
    <row r="4" spans="1:53" ht="26.25" customHeight="1" thickBot="1" x14ac:dyDescent="0.3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BA4" s="60" t="s">
        <v>93</v>
      </c>
    </row>
    <row r="5" spans="1:53" ht="16.5" thickBot="1" x14ac:dyDescent="0.3">
      <c r="B5" s="58" t="s">
        <v>82</v>
      </c>
      <c r="C5" s="79">
        <f>codiexp1</f>
        <v>0</v>
      </c>
      <c r="BA5" s="60">
        <v>3</v>
      </c>
    </row>
    <row r="6" spans="1:53" ht="19.5" thickBot="1" x14ac:dyDescent="0.35">
      <c r="B6" s="58" t="s">
        <v>83</v>
      </c>
      <c r="C6" s="131" t="str">
        <f>+CONCATENATE(C5,"-03")</f>
        <v>0-03</v>
      </c>
    </row>
    <row r="7" spans="1:53" ht="16.5" thickBot="1" x14ac:dyDescent="0.3">
      <c r="B7" s="58" t="s">
        <v>0</v>
      </c>
      <c r="C7" s="20"/>
    </row>
    <row r="8" spans="1:53" ht="16.5" thickBot="1" x14ac:dyDescent="0.3">
      <c r="B8" s="58" t="s">
        <v>80</v>
      </c>
      <c r="C8" s="20"/>
    </row>
    <row r="9" spans="1:53" ht="16.5" thickBot="1" x14ac:dyDescent="0.3">
      <c r="B9" s="58" t="s">
        <v>84</v>
      </c>
      <c r="C9" s="113">
        <f>justificacio</f>
        <v>0</v>
      </c>
    </row>
    <row r="10" spans="1:53" ht="15.75" thickBot="1" x14ac:dyDescent="0.3">
      <c r="B10" s="122"/>
    </row>
    <row r="11" spans="1:53" ht="32.25" thickBot="1" x14ac:dyDescent="0.3">
      <c r="A11" s="58" t="s">
        <v>90</v>
      </c>
      <c r="B11" s="58" t="s">
        <v>1</v>
      </c>
      <c r="C11" s="61" t="s">
        <v>2</v>
      </c>
      <c r="D11" s="61" t="s">
        <v>3</v>
      </c>
      <c r="E11" s="62">
        <v>2017</v>
      </c>
      <c r="F11" s="62">
        <v>2018</v>
      </c>
      <c r="G11" s="62">
        <v>2019</v>
      </c>
      <c r="H11" s="62">
        <v>2020</v>
      </c>
      <c r="I11" s="62">
        <v>2021</v>
      </c>
      <c r="J11" s="62">
        <v>2022</v>
      </c>
      <c r="K11" s="62">
        <v>2023</v>
      </c>
    </row>
    <row r="12" spans="1:53" x14ac:dyDescent="0.25">
      <c r="A12" s="123" t="s">
        <v>4</v>
      </c>
      <c r="B12" s="94" t="s">
        <v>5</v>
      </c>
      <c r="C12" s="90" t="s">
        <v>6</v>
      </c>
      <c r="D12" s="90" t="s">
        <v>7</v>
      </c>
      <c r="E12" s="100"/>
      <c r="F12" s="100"/>
      <c r="G12" s="100"/>
      <c r="H12" s="100"/>
      <c r="I12" s="100"/>
      <c r="J12" s="100"/>
      <c r="K12" s="100"/>
      <c r="L12" s="124"/>
      <c r="M12" s="124"/>
      <c r="N12" s="124"/>
    </row>
    <row r="13" spans="1:53" ht="15.75" thickBot="1" x14ac:dyDescent="0.3">
      <c r="A13" s="125"/>
      <c r="B13" s="95"/>
      <c r="C13" s="91"/>
      <c r="D13" s="91"/>
      <c r="E13" s="100"/>
      <c r="F13" s="100"/>
      <c r="G13" s="100"/>
      <c r="H13" s="100"/>
      <c r="I13" s="100"/>
      <c r="J13" s="100"/>
      <c r="K13" s="100"/>
      <c r="L13" s="124"/>
      <c r="M13" s="124"/>
      <c r="N13" s="124"/>
    </row>
    <row r="14" spans="1:53" x14ac:dyDescent="0.25">
      <c r="A14" s="125"/>
      <c r="B14" s="94" t="s">
        <v>8</v>
      </c>
      <c r="C14" s="90" t="s">
        <v>9</v>
      </c>
      <c r="D14" s="90" t="s">
        <v>10</v>
      </c>
      <c r="E14" s="100"/>
      <c r="F14" s="100"/>
      <c r="G14" s="100"/>
      <c r="H14" s="100"/>
      <c r="I14" s="100"/>
      <c r="J14" s="100"/>
      <c r="K14" s="100"/>
      <c r="L14" s="124"/>
      <c r="M14" s="124"/>
      <c r="N14" s="124"/>
    </row>
    <row r="15" spans="1:53" ht="15.75" thickBot="1" x14ac:dyDescent="0.3">
      <c r="A15" s="125"/>
      <c r="B15" s="95"/>
      <c r="C15" s="91"/>
      <c r="D15" s="91"/>
      <c r="E15" s="100"/>
      <c r="F15" s="100"/>
      <c r="G15" s="100"/>
      <c r="H15" s="100"/>
      <c r="I15" s="100"/>
      <c r="J15" s="100"/>
      <c r="K15" s="100"/>
      <c r="L15" s="124"/>
      <c r="M15" s="124"/>
      <c r="N15" s="124"/>
    </row>
    <row r="16" spans="1:53" x14ac:dyDescent="0.25">
      <c r="A16" s="125"/>
      <c r="B16" s="94" t="s">
        <v>11</v>
      </c>
      <c r="C16" s="90" t="s">
        <v>12</v>
      </c>
      <c r="D16" s="90" t="s">
        <v>13</v>
      </c>
      <c r="E16" s="100"/>
      <c r="F16" s="99"/>
      <c r="G16" s="99"/>
      <c r="H16" s="99"/>
      <c r="I16" s="99"/>
      <c r="J16" s="99"/>
      <c r="K16" s="99"/>
      <c r="L16" s="124"/>
      <c r="M16" s="124"/>
      <c r="N16" s="124"/>
    </row>
    <row r="17" spans="1:14" ht="15.75" thickBot="1" x14ac:dyDescent="0.3">
      <c r="A17" s="125"/>
      <c r="B17" s="95"/>
      <c r="C17" s="91"/>
      <c r="D17" s="91"/>
      <c r="E17" s="100"/>
      <c r="F17" s="99"/>
      <c r="G17" s="99"/>
      <c r="H17" s="99"/>
      <c r="I17" s="99"/>
      <c r="J17" s="99"/>
      <c r="K17" s="99"/>
      <c r="L17" s="124"/>
      <c r="M17" s="124"/>
      <c r="N17" s="124"/>
    </row>
    <row r="18" spans="1:14" x14ac:dyDescent="0.25">
      <c r="A18" s="125"/>
      <c r="B18" s="94" t="s">
        <v>14</v>
      </c>
      <c r="C18" s="90" t="s">
        <v>15</v>
      </c>
      <c r="D18" s="90" t="s">
        <v>16</v>
      </c>
      <c r="E18" s="100"/>
      <c r="F18" s="100"/>
      <c r="G18" s="100"/>
      <c r="H18" s="100"/>
      <c r="I18" s="100"/>
      <c r="J18" s="100"/>
      <c r="K18" s="100"/>
      <c r="L18" s="124"/>
      <c r="M18" s="124"/>
      <c r="N18" s="124"/>
    </row>
    <row r="19" spans="1:14" ht="15.75" thickBot="1" x14ac:dyDescent="0.3">
      <c r="A19" s="125"/>
      <c r="B19" s="95"/>
      <c r="C19" s="91"/>
      <c r="D19" s="91"/>
      <c r="E19" s="100"/>
      <c r="F19" s="100"/>
      <c r="G19" s="100"/>
      <c r="H19" s="100"/>
      <c r="I19" s="100"/>
      <c r="J19" s="100"/>
      <c r="K19" s="100"/>
      <c r="L19" s="124"/>
      <c r="M19" s="124"/>
      <c r="N19" s="124"/>
    </row>
    <row r="20" spans="1:14" x14ac:dyDescent="0.25">
      <c r="A20" s="125"/>
      <c r="B20" s="94" t="s">
        <v>17</v>
      </c>
      <c r="C20" s="90" t="s">
        <v>18</v>
      </c>
      <c r="D20" s="90" t="s">
        <v>19</v>
      </c>
      <c r="E20" s="100"/>
      <c r="F20" s="99"/>
      <c r="G20" s="99"/>
      <c r="H20" s="99"/>
      <c r="I20" s="99"/>
      <c r="J20" s="99"/>
      <c r="K20" s="99"/>
      <c r="L20" s="124"/>
      <c r="M20" s="124"/>
      <c r="N20" s="124"/>
    </row>
    <row r="21" spans="1:14" ht="15.75" thickBot="1" x14ac:dyDescent="0.3">
      <c r="A21" s="125"/>
      <c r="B21" s="95"/>
      <c r="C21" s="91"/>
      <c r="D21" s="91"/>
      <c r="E21" s="100"/>
      <c r="F21" s="99"/>
      <c r="G21" s="99"/>
      <c r="H21" s="99"/>
      <c r="I21" s="99"/>
      <c r="J21" s="99"/>
      <c r="K21" s="99"/>
      <c r="L21" s="124"/>
      <c r="M21" s="124"/>
      <c r="N21" s="124"/>
    </row>
    <row r="22" spans="1:14" x14ac:dyDescent="0.25">
      <c r="A22" s="125"/>
      <c r="B22" s="90" t="s">
        <v>20</v>
      </c>
      <c r="C22" s="90" t="s">
        <v>21</v>
      </c>
      <c r="D22" s="90" t="s">
        <v>22</v>
      </c>
      <c r="E22" s="101"/>
      <c r="F22" s="99"/>
      <c r="G22" s="99"/>
      <c r="H22" s="99"/>
      <c r="I22" s="99"/>
      <c r="J22" s="99"/>
      <c r="K22" s="99"/>
      <c r="L22" s="124"/>
      <c r="M22" s="124"/>
      <c r="N22" s="124"/>
    </row>
    <row r="23" spans="1:14" ht="15.75" thickBot="1" x14ac:dyDescent="0.3">
      <c r="A23" s="125"/>
      <c r="B23" s="91"/>
      <c r="C23" s="91"/>
      <c r="D23" s="91"/>
      <c r="E23" s="101"/>
      <c r="F23" s="99"/>
      <c r="G23" s="99"/>
      <c r="H23" s="99"/>
      <c r="I23" s="99"/>
      <c r="J23" s="99"/>
      <c r="K23" s="99"/>
      <c r="L23" s="124"/>
      <c r="M23" s="124"/>
      <c r="N23" s="124"/>
    </row>
    <row r="24" spans="1:14" x14ac:dyDescent="0.25">
      <c r="A24" s="125"/>
      <c r="B24" s="90" t="s">
        <v>23</v>
      </c>
      <c r="C24" s="90" t="s">
        <v>24</v>
      </c>
      <c r="D24" s="90" t="s">
        <v>19</v>
      </c>
      <c r="E24" s="101"/>
      <c r="F24" s="99"/>
      <c r="G24" s="99"/>
      <c r="H24" s="99"/>
      <c r="I24" s="99"/>
      <c r="J24" s="99"/>
      <c r="K24" s="99"/>
      <c r="L24" s="124"/>
      <c r="M24" s="124"/>
      <c r="N24" s="124"/>
    </row>
    <row r="25" spans="1:14" ht="15.75" thickBot="1" x14ac:dyDescent="0.3">
      <c r="A25" s="126"/>
      <c r="B25" s="91"/>
      <c r="C25" s="91"/>
      <c r="D25" s="91"/>
      <c r="E25" s="101"/>
      <c r="F25" s="99"/>
      <c r="G25" s="99"/>
      <c r="H25" s="99"/>
      <c r="I25" s="99"/>
      <c r="J25" s="99"/>
      <c r="K25" s="99"/>
      <c r="L25" s="124"/>
      <c r="M25" s="124"/>
      <c r="N25" s="124"/>
    </row>
    <row r="26" spans="1:14" x14ac:dyDescent="0.25">
      <c r="A26" s="123" t="s">
        <v>25</v>
      </c>
      <c r="B26" s="90" t="s">
        <v>26</v>
      </c>
      <c r="C26" s="90" t="s">
        <v>27</v>
      </c>
      <c r="D26" s="90" t="s">
        <v>13</v>
      </c>
      <c r="E26" s="101"/>
      <c r="F26" s="102"/>
      <c r="G26" s="99"/>
      <c r="H26" s="99"/>
      <c r="I26" s="99"/>
      <c r="J26" s="99"/>
      <c r="K26" s="99"/>
      <c r="L26" s="124"/>
      <c r="M26" s="124"/>
      <c r="N26" s="124"/>
    </row>
    <row r="27" spans="1:14" ht="15.75" thickBot="1" x14ac:dyDescent="0.3">
      <c r="A27" s="126"/>
      <c r="B27" s="91"/>
      <c r="C27" s="91"/>
      <c r="D27" s="91"/>
      <c r="E27" s="101"/>
      <c r="F27" s="102"/>
      <c r="G27" s="99"/>
      <c r="H27" s="99"/>
      <c r="I27" s="99"/>
      <c r="J27" s="99"/>
      <c r="K27" s="99"/>
      <c r="L27" s="124"/>
      <c r="M27" s="124"/>
      <c r="N27" s="124"/>
    </row>
    <row r="28" spans="1:14" ht="32.25" thickBot="1" x14ac:dyDescent="0.3">
      <c r="A28" s="58" t="s">
        <v>89</v>
      </c>
      <c r="B28" s="58" t="s">
        <v>1</v>
      </c>
      <c r="C28" s="61" t="s">
        <v>2</v>
      </c>
      <c r="D28" s="61" t="s">
        <v>3</v>
      </c>
      <c r="E28" s="62">
        <v>2017</v>
      </c>
      <c r="F28" s="62">
        <v>2018</v>
      </c>
      <c r="G28" s="62">
        <v>2019</v>
      </c>
      <c r="H28" s="62">
        <v>2020</v>
      </c>
      <c r="I28" s="62">
        <v>2021</v>
      </c>
      <c r="J28" s="62">
        <v>2022</v>
      </c>
      <c r="K28" s="62">
        <v>2023</v>
      </c>
      <c r="L28" s="124"/>
      <c r="M28" s="124"/>
      <c r="N28" s="124"/>
    </row>
    <row r="29" spans="1:14" ht="25.5" customHeight="1" thickBot="1" x14ac:dyDescent="0.3">
      <c r="B29" s="66" t="s">
        <v>28</v>
      </c>
      <c r="C29" s="65" t="s">
        <v>29</v>
      </c>
      <c r="D29" s="66" t="s">
        <v>13</v>
      </c>
      <c r="E29" s="36"/>
      <c r="F29" s="37"/>
      <c r="G29" s="35"/>
      <c r="H29" s="35"/>
      <c r="I29" s="35"/>
      <c r="J29" s="35"/>
      <c r="K29" s="35"/>
      <c r="L29" s="124"/>
      <c r="M29" s="124"/>
      <c r="N29" s="124"/>
    </row>
    <row r="30" spans="1:14" ht="25.5" customHeight="1" thickBot="1" x14ac:dyDescent="0.3">
      <c r="B30" s="69" t="s">
        <v>30</v>
      </c>
      <c r="C30" s="68" t="s">
        <v>31</v>
      </c>
      <c r="D30" s="69" t="s">
        <v>13</v>
      </c>
      <c r="E30" s="36"/>
      <c r="F30" s="37"/>
      <c r="G30" s="35"/>
      <c r="H30" s="35"/>
      <c r="I30" s="35"/>
      <c r="J30" s="35"/>
      <c r="K30" s="35"/>
      <c r="L30" s="124"/>
      <c r="M30" s="124"/>
      <c r="N30" s="124"/>
    </row>
    <row r="31" spans="1:14" ht="25.5" customHeight="1" thickBot="1" x14ac:dyDescent="0.3">
      <c r="B31" s="69" t="s">
        <v>32</v>
      </c>
      <c r="C31" s="68" t="s">
        <v>33</v>
      </c>
      <c r="D31" s="69" t="s">
        <v>16</v>
      </c>
      <c r="E31" s="36"/>
      <c r="F31" s="37"/>
      <c r="G31" s="35"/>
      <c r="H31" s="35"/>
      <c r="I31" s="35"/>
      <c r="J31" s="35"/>
      <c r="K31" s="35"/>
      <c r="L31" s="124"/>
      <c r="M31" s="124"/>
      <c r="N31" s="124"/>
    </row>
    <row r="32" spans="1:14" ht="25.5" customHeight="1" thickBot="1" x14ac:dyDescent="0.3">
      <c r="B32" s="69" t="s">
        <v>34</v>
      </c>
      <c r="C32" s="68" t="s">
        <v>35</v>
      </c>
      <c r="D32" s="69" t="s">
        <v>16</v>
      </c>
      <c r="E32" s="36"/>
      <c r="F32" s="37"/>
      <c r="G32" s="35"/>
      <c r="H32" s="35"/>
      <c r="I32" s="35"/>
      <c r="J32" s="35"/>
      <c r="K32" s="35"/>
      <c r="L32" s="124"/>
      <c r="M32" s="124"/>
      <c r="N32" s="124"/>
    </row>
    <row r="33" spans="2:14" ht="25.5" customHeight="1" thickBot="1" x14ac:dyDescent="0.3">
      <c r="B33" s="72" t="s">
        <v>36</v>
      </c>
      <c r="C33" s="68" t="s">
        <v>37</v>
      </c>
      <c r="D33" s="69" t="s">
        <v>16</v>
      </c>
      <c r="E33" s="83"/>
      <c r="F33" s="84"/>
      <c r="G33" s="82"/>
      <c r="H33" s="82"/>
      <c r="I33" s="82"/>
      <c r="J33" s="82"/>
      <c r="K33" s="82"/>
      <c r="L33" s="124"/>
      <c r="M33" s="124"/>
      <c r="N33" s="124"/>
    </row>
    <row r="34" spans="2:14" ht="25.5" customHeight="1" thickBot="1" x14ac:dyDescent="0.3">
      <c r="B34" s="72" t="s">
        <v>38</v>
      </c>
      <c r="C34" s="71" t="s">
        <v>39</v>
      </c>
      <c r="D34" s="69" t="s">
        <v>16</v>
      </c>
      <c r="E34" s="83"/>
      <c r="F34" s="83"/>
      <c r="G34" s="83"/>
      <c r="H34" s="83"/>
      <c r="I34" s="83"/>
      <c r="J34" s="83"/>
      <c r="K34" s="83"/>
      <c r="L34" s="124"/>
      <c r="M34" s="124"/>
      <c r="N34" s="124"/>
    </row>
    <row r="35" spans="2:14" ht="25.5" customHeight="1" thickBot="1" x14ac:dyDescent="0.3">
      <c r="B35" s="72" t="s">
        <v>40</v>
      </c>
      <c r="C35" s="71" t="s">
        <v>41</v>
      </c>
      <c r="D35" s="69" t="s">
        <v>16</v>
      </c>
      <c r="E35" s="83"/>
      <c r="F35" s="83"/>
      <c r="G35" s="83"/>
      <c r="H35" s="83"/>
      <c r="I35" s="83"/>
      <c r="J35" s="83"/>
      <c r="K35" s="83"/>
      <c r="L35" s="124"/>
      <c r="M35" s="124"/>
      <c r="N35" s="124"/>
    </row>
    <row r="36" spans="2:14" ht="25.5" customHeight="1" thickBot="1" x14ac:dyDescent="0.3">
      <c r="B36" s="72" t="s">
        <v>42</v>
      </c>
      <c r="C36" s="68" t="s">
        <v>43</v>
      </c>
      <c r="D36" s="72" t="s">
        <v>16</v>
      </c>
      <c r="E36" s="40"/>
      <c r="F36" s="84"/>
      <c r="G36" s="82"/>
      <c r="H36" s="82"/>
      <c r="I36" s="82"/>
      <c r="J36" s="82"/>
      <c r="K36" s="82"/>
      <c r="L36" s="124"/>
      <c r="M36" s="124"/>
      <c r="N36" s="124"/>
    </row>
    <row r="37" spans="2:14" ht="25.5" customHeight="1" thickBot="1" x14ac:dyDescent="0.3">
      <c r="B37" s="72" t="s">
        <v>44</v>
      </c>
      <c r="C37" s="68" t="s">
        <v>45</v>
      </c>
      <c r="D37" s="73" t="s">
        <v>16</v>
      </c>
      <c r="E37" s="42"/>
      <c r="F37" s="84"/>
      <c r="G37" s="82"/>
      <c r="H37" s="82"/>
      <c r="I37" s="82"/>
      <c r="J37" s="82"/>
      <c r="K37" s="82"/>
      <c r="L37" s="124"/>
      <c r="M37" s="124"/>
      <c r="N37" s="124"/>
    </row>
    <row r="38" spans="2:14" ht="25.5" customHeight="1" thickBot="1" x14ac:dyDescent="0.3">
      <c r="B38" s="72" t="s">
        <v>46</v>
      </c>
      <c r="C38" s="68" t="s">
        <v>47</v>
      </c>
      <c r="D38" s="72" t="s">
        <v>16</v>
      </c>
      <c r="E38" s="40"/>
      <c r="F38" s="84"/>
      <c r="G38" s="82"/>
      <c r="H38" s="82"/>
      <c r="I38" s="82"/>
      <c r="J38" s="82"/>
      <c r="K38" s="82"/>
      <c r="L38" s="124"/>
      <c r="M38" s="124"/>
      <c r="N38" s="124"/>
    </row>
    <row r="39" spans="2:14" ht="25.5" customHeight="1" thickBot="1" x14ac:dyDescent="0.3">
      <c r="B39" s="72" t="s">
        <v>48</v>
      </c>
      <c r="C39" s="68" t="s">
        <v>49</v>
      </c>
      <c r="D39" s="74" t="s">
        <v>16</v>
      </c>
      <c r="E39" s="48"/>
      <c r="F39" s="48"/>
      <c r="G39" s="48"/>
      <c r="H39" s="48"/>
      <c r="I39" s="48"/>
      <c r="J39" s="48"/>
      <c r="K39" s="48"/>
      <c r="L39" s="124"/>
      <c r="M39" s="124"/>
      <c r="N39" s="124"/>
    </row>
    <row r="40" spans="2:14" ht="25.5" customHeight="1" thickBot="1" x14ac:dyDescent="0.3">
      <c r="B40" s="72" t="s">
        <v>50</v>
      </c>
      <c r="C40" s="68" t="s">
        <v>51</v>
      </c>
      <c r="D40" s="74" t="s">
        <v>16</v>
      </c>
      <c r="E40" s="40"/>
      <c r="F40" s="84"/>
      <c r="G40" s="82"/>
      <c r="H40" s="82"/>
      <c r="I40" s="82"/>
      <c r="J40" s="82"/>
      <c r="K40" s="82"/>
      <c r="L40" s="124"/>
      <c r="M40" s="124"/>
      <c r="N40" s="124"/>
    </row>
    <row r="41" spans="2:14" ht="25.5" customHeight="1" thickBot="1" x14ac:dyDescent="0.3">
      <c r="B41" s="72" t="s">
        <v>52</v>
      </c>
      <c r="C41" s="68" t="s">
        <v>53</v>
      </c>
      <c r="D41" s="72" t="s">
        <v>16</v>
      </c>
      <c r="E41" s="44"/>
      <c r="F41" s="84"/>
      <c r="G41" s="82"/>
      <c r="H41" s="82"/>
      <c r="I41" s="82"/>
      <c r="J41" s="82"/>
      <c r="K41" s="82"/>
      <c r="L41" s="124"/>
      <c r="M41" s="124"/>
      <c r="N41" s="124"/>
    </row>
    <row r="42" spans="2:14" ht="25.5" customHeight="1" thickBot="1" x14ac:dyDescent="0.3">
      <c r="B42" s="72" t="s">
        <v>54</v>
      </c>
      <c r="C42" s="68" t="s">
        <v>55</v>
      </c>
      <c r="D42" s="72" t="s">
        <v>16</v>
      </c>
      <c r="E42" s="42"/>
      <c r="F42" s="84"/>
      <c r="G42" s="82"/>
      <c r="H42" s="82"/>
      <c r="I42" s="82"/>
      <c r="J42" s="82"/>
      <c r="K42" s="82"/>
      <c r="L42" s="124"/>
      <c r="M42" s="124"/>
      <c r="N42" s="124"/>
    </row>
    <row r="43" spans="2:14" ht="25.5" customHeight="1" thickBot="1" x14ac:dyDescent="0.3">
      <c r="B43" s="72" t="s">
        <v>56</v>
      </c>
      <c r="C43" s="68" t="s">
        <v>57</v>
      </c>
      <c r="D43" s="72" t="s">
        <v>16</v>
      </c>
      <c r="E43" s="46"/>
      <c r="F43" s="46"/>
      <c r="G43" s="46"/>
      <c r="H43" s="46"/>
      <c r="I43" s="46"/>
      <c r="J43" s="46"/>
      <c r="K43" s="46"/>
      <c r="L43" s="124"/>
      <c r="M43" s="124"/>
      <c r="N43" s="124"/>
    </row>
    <row r="44" spans="2:14" ht="25.5" customHeight="1" thickBot="1" x14ac:dyDescent="0.3">
      <c r="B44" s="72" t="s">
        <v>58</v>
      </c>
      <c r="C44" s="68" t="s">
        <v>59</v>
      </c>
      <c r="D44" s="72" t="s">
        <v>16</v>
      </c>
      <c r="E44" s="40"/>
      <c r="F44" s="84"/>
      <c r="G44" s="82"/>
      <c r="H44" s="82"/>
      <c r="I44" s="82"/>
      <c r="J44" s="82"/>
      <c r="K44" s="82"/>
      <c r="L44" s="124"/>
      <c r="M44" s="124"/>
      <c r="N44" s="124"/>
    </row>
    <row r="45" spans="2:14" ht="25.5" customHeight="1" thickBot="1" x14ac:dyDescent="0.3">
      <c r="B45" s="72" t="s">
        <v>60</v>
      </c>
      <c r="C45" s="68" t="s">
        <v>61</v>
      </c>
      <c r="D45" s="72" t="s">
        <v>16</v>
      </c>
      <c r="E45" s="46"/>
      <c r="F45" s="84"/>
      <c r="G45" s="82"/>
      <c r="H45" s="82"/>
      <c r="I45" s="82"/>
      <c r="J45" s="82"/>
      <c r="K45" s="82"/>
      <c r="L45" s="124"/>
      <c r="M45" s="124"/>
      <c r="N45" s="124"/>
    </row>
    <row r="46" spans="2:14" ht="25.5" customHeight="1" thickBot="1" x14ac:dyDescent="0.3">
      <c r="B46" s="72" t="s">
        <v>62</v>
      </c>
      <c r="C46" s="68" t="s">
        <v>63</v>
      </c>
      <c r="D46" s="72" t="s">
        <v>16</v>
      </c>
      <c r="E46" s="40"/>
      <c r="F46" s="84"/>
      <c r="G46" s="82"/>
      <c r="H46" s="82"/>
      <c r="I46" s="82"/>
      <c r="J46" s="82"/>
      <c r="K46" s="82"/>
      <c r="L46" s="124"/>
      <c r="M46" s="124"/>
      <c r="N46" s="124"/>
    </row>
    <row r="47" spans="2:14" ht="25.5" customHeight="1" thickBot="1" x14ac:dyDescent="0.3">
      <c r="B47" s="72" t="s">
        <v>64</v>
      </c>
      <c r="C47" s="68" t="s">
        <v>65</v>
      </c>
      <c r="D47" s="72" t="s">
        <v>16</v>
      </c>
      <c r="E47" s="46"/>
      <c r="F47" s="84"/>
      <c r="G47" s="82"/>
      <c r="H47" s="82"/>
      <c r="I47" s="82"/>
      <c r="J47" s="82"/>
      <c r="K47" s="82"/>
      <c r="L47" s="124"/>
      <c r="M47" s="124"/>
      <c r="N47" s="124"/>
    </row>
    <row r="48" spans="2:14" ht="25.5" customHeight="1" thickBot="1" x14ac:dyDescent="0.3">
      <c r="B48" s="76" t="s">
        <v>66</v>
      </c>
      <c r="C48" s="75" t="s">
        <v>67</v>
      </c>
      <c r="D48" s="76" t="s">
        <v>16</v>
      </c>
      <c r="E48" s="44"/>
      <c r="F48" s="84"/>
      <c r="G48" s="82"/>
      <c r="H48" s="82"/>
      <c r="I48" s="82"/>
      <c r="J48" s="82"/>
      <c r="K48" s="82"/>
      <c r="L48" s="124"/>
      <c r="M48" s="124"/>
      <c r="N48" s="124"/>
    </row>
    <row r="49" spans="2:14" ht="25.5" customHeight="1" thickBot="1" x14ac:dyDescent="0.3">
      <c r="B49" s="77" t="s">
        <v>68</v>
      </c>
      <c r="C49" s="68" t="s">
        <v>69</v>
      </c>
      <c r="D49" s="77" t="s">
        <v>16</v>
      </c>
      <c r="E49" s="42"/>
      <c r="F49" s="84"/>
      <c r="G49" s="82"/>
      <c r="H49" s="82"/>
      <c r="I49" s="82"/>
      <c r="J49" s="82"/>
      <c r="K49" s="82"/>
      <c r="L49" s="124"/>
      <c r="M49" s="124"/>
      <c r="N49" s="124"/>
    </row>
    <row r="50" spans="2:14" ht="25.5" customHeight="1" thickBot="1" x14ac:dyDescent="0.3">
      <c r="B50" s="72" t="s">
        <v>70</v>
      </c>
      <c r="C50" s="68" t="s">
        <v>71</v>
      </c>
      <c r="D50" s="69" t="s">
        <v>16</v>
      </c>
      <c r="E50" s="44"/>
      <c r="F50" s="84"/>
      <c r="G50" s="82"/>
      <c r="H50" s="82"/>
      <c r="I50" s="82"/>
      <c r="J50" s="82"/>
      <c r="K50" s="82"/>
      <c r="L50" s="124"/>
      <c r="M50" s="124"/>
      <c r="N50" s="124"/>
    </row>
    <row r="51" spans="2:14" ht="25.5" customHeight="1" thickBot="1" x14ac:dyDescent="0.3">
      <c r="B51" s="72" t="s">
        <v>72</v>
      </c>
      <c r="C51" s="68" t="s">
        <v>73</v>
      </c>
      <c r="D51" s="69" t="s">
        <v>16</v>
      </c>
      <c r="E51" s="46"/>
      <c r="F51" s="84"/>
      <c r="G51" s="82"/>
      <c r="H51" s="82"/>
      <c r="I51" s="82"/>
      <c r="J51" s="82"/>
      <c r="K51" s="82"/>
      <c r="L51" s="124"/>
      <c r="M51" s="124"/>
      <c r="N51" s="124"/>
    </row>
    <row r="52" spans="2:14" ht="25.5" customHeight="1" thickBot="1" x14ac:dyDescent="0.3">
      <c r="B52" s="72" t="s">
        <v>74</v>
      </c>
      <c r="C52" s="68" t="s">
        <v>75</v>
      </c>
      <c r="D52" s="69" t="s">
        <v>16</v>
      </c>
      <c r="E52" s="40"/>
      <c r="F52" s="84"/>
      <c r="G52" s="82"/>
      <c r="H52" s="82"/>
      <c r="I52" s="82"/>
      <c r="J52" s="82"/>
      <c r="K52" s="82"/>
      <c r="L52" s="124"/>
      <c r="M52" s="124"/>
      <c r="N52" s="124"/>
    </row>
    <row r="53" spans="2:14" ht="25.5" customHeight="1" thickBot="1" x14ac:dyDescent="0.3">
      <c r="B53" s="72" t="s">
        <v>76</v>
      </c>
      <c r="C53" s="68" t="s">
        <v>77</v>
      </c>
      <c r="D53" s="69" t="s">
        <v>16</v>
      </c>
      <c r="E53" s="44"/>
      <c r="F53" s="84"/>
      <c r="G53" s="82"/>
      <c r="H53" s="82"/>
      <c r="I53" s="82"/>
      <c r="J53" s="82"/>
      <c r="K53" s="82"/>
      <c r="L53" s="124"/>
      <c r="M53" s="124"/>
      <c r="N53" s="124"/>
    </row>
    <row r="54" spans="2:14" x14ac:dyDescent="0.25">
      <c r="E54" s="128"/>
      <c r="F54" s="128"/>
      <c r="G54" s="124"/>
      <c r="H54" s="124"/>
      <c r="I54" s="124"/>
      <c r="J54" s="124"/>
      <c r="K54" s="124"/>
      <c r="L54" s="124"/>
      <c r="M54" s="124"/>
      <c r="N54" s="124"/>
    </row>
    <row r="55" spans="2:14" x14ac:dyDescent="0.25">
      <c r="E55" s="128"/>
      <c r="F55" s="128"/>
      <c r="G55" s="124"/>
      <c r="H55" s="124"/>
      <c r="I55" s="124"/>
      <c r="J55" s="124"/>
      <c r="K55" s="124"/>
      <c r="L55" s="124"/>
      <c r="M55" s="124"/>
      <c r="N55" s="124"/>
    </row>
    <row r="56" spans="2:14" x14ac:dyDescent="0.25">
      <c r="E56" s="129"/>
      <c r="F56" s="129"/>
    </row>
  </sheetData>
  <sheetProtection algorithmName="SHA-512" hashValue="/tOWjuWjmwxD9SYgP6cNdaVuWoyXQoGqsGvoxrQbZQ2aE4ufky3Hfh4zSfQJ39mTOPSmXNIX3H59+HJWXgpVBQ==" saltValue="cY5sAcWoqJ5NiqVrtzVcoA==" spinCount="100000" sheet="1" objects="1" scenarios="1" formatCells="0"/>
  <customSheetViews>
    <customSheetView guid="{EDFE284D-223A-49E7-8396-C31999A2537B}">
      <selection activeCell="C19" sqref="C19:C20"/>
      <pageMargins left="0.7" right="0.7" top="0.75" bottom="0.75" header="0.3" footer="0.3"/>
    </customSheetView>
  </customSheetViews>
  <mergeCells count="85">
    <mergeCell ref="F12:F13"/>
    <mergeCell ref="A12:A25"/>
    <mergeCell ref="B12:B13"/>
    <mergeCell ref="C12:C13"/>
    <mergeCell ref="D12:D13"/>
    <mergeCell ref="E12:E13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G12:G13"/>
    <mergeCell ref="H12:H13"/>
    <mergeCell ref="I12:I13"/>
    <mergeCell ref="J12:J13"/>
    <mergeCell ref="K12:K13"/>
    <mergeCell ref="G14:G15"/>
    <mergeCell ref="H14:H15"/>
    <mergeCell ref="I14:I15"/>
    <mergeCell ref="J14:J15"/>
    <mergeCell ref="K14:K15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G20:G21"/>
    <mergeCell ref="H20:H21"/>
    <mergeCell ref="I20:I21"/>
    <mergeCell ref="J20:J21"/>
    <mergeCell ref="K20:K21"/>
    <mergeCell ref="I22:I23"/>
    <mergeCell ref="J22:J23"/>
    <mergeCell ref="K22:K23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C26:C27"/>
    <mergeCell ref="D26:D27"/>
    <mergeCell ref="E26:E27"/>
    <mergeCell ref="G22:G23"/>
    <mergeCell ref="H22:H23"/>
    <mergeCell ref="C3:G3"/>
    <mergeCell ref="A1:K2"/>
    <mergeCell ref="A4:K4"/>
    <mergeCell ref="F26:F27"/>
    <mergeCell ref="G26:G27"/>
    <mergeCell ref="H26:H27"/>
    <mergeCell ref="I26:I27"/>
    <mergeCell ref="J26:J27"/>
    <mergeCell ref="K26:K27"/>
    <mergeCell ref="G24:G25"/>
    <mergeCell ref="H24:H25"/>
    <mergeCell ref="I24:I25"/>
    <mergeCell ref="J24:J25"/>
    <mergeCell ref="K24:K25"/>
    <mergeCell ref="A26:A27"/>
    <mergeCell ref="B26:B27"/>
  </mergeCells>
  <dataValidations count="7">
    <dataValidation type="whole" allowBlank="1" showErrorMessage="1" error="Valor= 0 o 1 _x000a_" sqref="E34:K34" xr:uid="{00000000-0002-0000-0300-000000000000}">
      <formula1>0</formula1>
      <formula2>1</formula2>
    </dataValidation>
    <dataValidation type="whole" allowBlank="1" showErrorMessage="1" error="Valor= 0 o 1 " promptTitle="jjjjj" sqref="E12:K15" xr:uid="{00000000-0002-0000-0300-000001000000}">
      <formula1>0</formula1>
      <formula2>1</formula2>
    </dataValidation>
    <dataValidation type="whole" allowBlank="1" showInputMessage="1" showErrorMessage="1" error="Valor=0 _x000a_" sqref="E18:K19" xr:uid="{00000000-0002-0000-0300-000002000000}">
      <formula1>0</formula1>
      <formula2>0</formula2>
    </dataValidation>
    <dataValidation type="whole" allowBlank="1" showInputMessage="1" showErrorMessage="1" error="Valor= 0 o 1 _x000a_" sqref="E35:K35 E39:K39" xr:uid="{00000000-0002-0000-0300-000003000000}">
      <formula1>0</formula1>
      <formula2>1</formula2>
    </dataValidation>
    <dataValidation type="whole" allowBlank="1" showInputMessage="1" showErrorMessage="1" error="Valor=1" sqref="E43:K43" xr:uid="{00000000-0002-0000-0300-000004000000}">
      <formula1>1</formula1>
      <formula2>1</formula2>
    </dataValidation>
    <dataValidation type="whole" allowBlank="1" showInputMessage="1" showErrorMessage="1" error="Valor=0 o 1" sqref="E46:K53" xr:uid="{00000000-0002-0000-0300-000005000000}">
      <formula1>0</formula1>
      <formula2>1</formula2>
    </dataValidation>
    <dataValidation type="textLength" allowBlank="1" showInputMessage="1" showErrorMessage="1" sqref="C8" xr:uid="{5FCEA185-D9D7-454F-A76E-D4AC820FE582}">
      <formula1>9</formula1>
      <formula2>9</formula2>
    </dataValidation>
  </dataValidations>
  <pageMargins left="0.7" right="0.7" top="0.75" bottom="0.75" header="0.3" footer="0.3"/>
  <pageSetup paperSize="9" scale="49" fitToHeight="0" orientation="landscape" r:id="rId1"/>
  <headerFooter>
    <oddFooter>&amp;R&amp;7D.71
Versió 1, 19 de febrer de 2018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E14"/>
  <sheetViews>
    <sheetView workbookViewId="0">
      <selection activeCell="B26" sqref="B26"/>
    </sheetView>
  </sheetViews>
  <sheetFormatPr defaultColWidth="11.42578125" defaultRowHeight="15" x14ac:dyDescent="0.25"/>
  <cols>
    <col min="1" max="1" width="17.140625" customWidth="1"/>
    <col min="2" max="2" width="31" bestFit="1" customWidth="1"/>
    <col min="3" max="3" width="11.42578125" customWidth="1"/>
    <col min="4" max="4" width="17.7109375" customWidth="1"/>
    <col min="5" max="5" width="12" customWidth="1"/>
    <col min="6" max="6" width="12.85546875" customWidth="1"/>
    <col min="7" max="7" width="12.140625" customWidth="1"/>
    <col min="8" max="8" width="12" customWidth="1"/>
    <col min="9" max="9" width="12.42578125" customWidth="1"/>
    <col min="10" max="10" width="12.7109375" customWidth="1"/>
    <col min="11" max="11" width="12.140625" customWidth="1"/>
    <col min="12" max="12" width="12.42578125" customWidth="1"/>
    <col min="13" max="13" width="12.28515625" customWidth="1"/>
    <col min="14" max="14" width="12.42578125" customWidth="1"/>
    <col min="15" max="15" width="12.5703125" customWidth="1"/>
    <col min="16" max="16" width="13.140625" customWidth="1"/>
    <col min="17" max="17" width="13.28515625" customWidth="1"/>
    <col min="18" max="18" width="13.5703125" customWidth="1"/>
    <col min="19" max="19" width="12.5703125" customWidth="1"/>
    <col min="20" max="20" width="12.85546875" customWidth="1"/>
    <col min="21" max="21" width="13.140625" customWidth="1"/>
    <col min="22" max="22" width="14" customWidth="1"/>
    <col min="23" max="23" width="13.140625" customWidth="1"/>
    <col min="24" max="24" width="14.5703125" customWidth="1"/>
    <col min="25" max="25" width="13.5703125" customWidth="1"/>
    <col min="26" max="26" width="12.140625" customWidth="1"/>
    <col min="27" max="27" width="12.5703125" customWidth="1"/>
    <col min="28" max="28" width="13.28515625" customWidth="1"/>
    <col min="29" max="29" width="12.42578125" customWidth="1"/>
    <col min="30" max="31" width="12.85546875" customWidth="1"/>
    <col min="32" max="32" width="13.7109375" customWidth="1"/>
    <col min="33" max="33" width="15.140625" customWidth="1"/>
    <col min="34" max="34" width="15" customWidth="1"/>
    <col min="35" max="35" width="14.5703125" customWidth="1"/>
    <col min="36" max="36" width="15" customWidth="1"/>
    <col min="37" max="37" width="16.140625" customWidth="1"/>
    <col min="38" max="38" width="15.42578125" customWidth="1"/>
    <col min="39" max="39" width="15" customWidth="1"/>
    <col min="40" max="40" width="15.140625" customWidth="1"/>
    <col min="41" max="41" width="15.42578125" customWidth="1"/>
    <col min="42" max="42" width="15.5703125" customWidth="1"/>
    <col min="43" max="43" width="15.140625" customWidth="1"/>
    <col min="44" max="44" width="15" customWidth="1"/>
    <col min="45" max="45" width="15.42578125" customWidth="1"/>
    <col min="46" max="46" width="19.140625" customWidth="1"/>
    <col min="47" max="47" width="15.28515625" customWidth="1"/>
    <col min="48" max="48" width="14.28515625" customWidth="1"/>
    <col min="49" max="49" width="14.42578125" customWidth="1"/>
    <col min="50" max="50" width="13.7109375" customWidth="1"/>
    <col min="51" max="51" width="15.42578125" customWidth="1"/>
    <col min="52" max="52" width="14.7109375" customWidth="1"/>
    <col min="53" max="53" width="15.42578125" customWidth="1"/>
    <col min="54" max="54" width="15.85546875" customWidth="1"/>
    <col min="55" max="55" width="14.85546875" customWidth="1"/>
    <col min="56" max="56" width="15.5703125" customWidth="1"/>
    <col min="57" max="57" width="16" customWidth="1"/>
    <col min="58" max="58" width="16.28515625" customWidth="1"/>
    <col min="59" max="59" width="16.140625" customWidth="1"/>
    <col min="60" max="60" width="15.5703125" customWidth="1"/>
    <col min="61" max="61" width="13.85546875" customWidth="1"/>
    <col min="62" max="62" width="14.140625" customWidth="1"/>
    <col min="63" max="63" width="14.42578125" customWidth="1"/>
    <col min="64" max="65" width="13.85546875" customWidth="1"/>
    <col min="66" max="66" width="14" customWidth="1"/>
    <col min="67" max="67" width="13.7109375" customWidth="1"/>
    <col min="68" max="69" width="14.140625" customWidth="1"/>
    <col min="70" max="70" width="13.42578125" customWidth="1"/>
    <col min="71" max="71" width="14.42578125" customWidth="1"/>
    <col min="72" max="72" width="13.7109375" customWidth="1"/>
    <col min="73" max="73" width="13.28515625" customWidth="1"/>
    <col min="74" max="74" width="13.42578125" customWidth="1"/>
    <col min="75" max="75" width="13.5703125" customWidth="1"/>
    <col min="76" max="76" width="13.85546875" customWidth="1"/>
    <col min="77" max="77" width="13.28515625" customWidth="1"/>
    <col min="78" max="78" width="14.7109375" customWidth="1"/>
    <col min="79" max="79" width="14.140625" customWidth="1"/>
    <col min="80" max="80" width="13.42578125" customWidth="1"/>
    <col min="81" max="81" width="13.85546875" customWidth="1"/>
    <col min="82" max="82" width="15.85546875" customWidth="1"/>
    <col min="83" max="83" width="15.140625" customWidth="1"/>
    <col min="84" max="84" width="15" customWidth="1"/>
    <col min="85" max="85" width="15.5703125" customWidth="1"/>
    <col min="86" max="86" width="15.85546875" customWidth="1"/>
    <col min="87" max="87" width="15" customWidth="1"/>
    <col min="88" max="89" width="16" customWidth="1"/>
    <col min="90" max="90" width="15.140625" customWidth="1"/>
    <col min="91" max="92" width="16" customWidth="1"/>
    <col min="93" max="93" width="16.140625" customWidth="1"/>
    <col min="94" max="94" width="15.85546875" customWidth="1"/>
    <col min="95" max="95" width="15.28515625" customWidth="1"/>
    <col min="96" max="96" width="16.42578125" customWidth="1"/>
    <col min="97" max="97" width="13.28515625" customWidth="1"/>
    <col min="98" max="98" width="13.85546875" customWidth="1"/>
    <col min="99" max="99" width="14.140625" customWidth="1"/>
    <col min="100" max="100" width="14.5703125" customWidth="1"/>
    <col min="101" max="101" width="14.42578125" customWidth="1"/>
    <col min="102" max="102" width="14.28515625" customWidth="1"/>
    <col min="103" max="103" width="13.28515625" customWidth="1"/>
    <col min="104" max="104" width="14.42578125" customWidth="1"/>
    <col min="105" max="105" width="13.28515625" customWidth="1"/>
    <col min="106" max="106" width="14.140625" customWidth="1"/>
    <col min="107" max="107" width="13.85546875" customWidth="1"/>
    <col min="108" max="108" width="13.7109375" customWidth="1"/>
    <col min="109" max="109" width="13.5703125" customWidth="1"/>
    <col min="110" max="110" width="14.140625" customWidth="1"/>
    <col min="111" max="111" width="13.7109375" customWidth="1"/>
    <col min="112" max="112" width="13.5703125" customWidth="1"/>
    <col min="113" max="113" width="13.85546875" customWidth="1"/>
    <col min="114" max="114" width="14.42578125" customWidth="1"/>
    <col min="115" max="116" width="14" customWidth="1"/>
    <col min="117" max="117" width="15.7109375" customWidth="1"/>
    <col min="118" max="118" width="15.28515625" customWidth="1"/>
    <col min="119" max="119" width="15" customWidth="1"/>
    <col min="120" max="120" width="14.5703125" customWidth="1"/>
    <col min="121" max="121" width="15.5703125" customWidth="1"/>
    <col min="122" max="122" width="14.5703125" customWidth="1"/>
    <col min="123" max="123" width="15" customWidth="1"/>
    <col min="124" max="124" width="14.28515625" customWidth="1"/>
    <col min="125" max="125" width="15.140625" customWidth="1"/>
    <col min="126" max="126" width="14.7109375" customWidth="1"/>
    <col min="127" max="127" width="14.85546875" customWidth="1"/>
    <col min="128" max="128" width="13.5703125" customWidth="1"/>
    <col min="129" max="129" width="14.28515625" customWidth="1"/>
    <col min="130" max="130" width="15.28515625" customWidth="1"/>
    <col min="131" max="131" width="14.28515625" customWidth="1"/>
    <col min="132" max="133" width="13.85546875" customWidth="1"/>
    <col min="134" max="134" width="14.5703125" customWidth="1"/>
    <col min="135" max="135" width="15" customWidth="1"/>
    <col min="136" max="136" width="14" customWidth="1"/>
    <col min="137" max="137" width="13.7109375" customWidth="1"/>
    <col min="138" max="138" width="15.42578125" customWidth="1"/>
    <col min="139" max="139" width="15" customWidth="1"/>
    <col min="140" max="140" width="15.5703125" customWidth="1"/>
    <col min="141" max="141" width="15.28515625" customWidth="1"/>
    <col min="142" max="142" width="15.85546875" customWidth="1"/>
    <col min="143" max="143" width="14" customWidth="1"/>
    <col min="144" max="144" width="14.5703125" customWidth="1"/>
    <col min="145" max="145" width="13.85546875" customWidth="1"/>
    <col min="146" max="146" width="14.28515625" customWidth="1"/>
    <col min="147" max="147" width="14" customWidth="1"/>
    <col min="148" max="148" width="14.5703125" customWidth="1"/>
    <col min="149" max="149" width="14.28515625" customWidth="1"/>
    <col min="150" max="150" width="13.7109375" customWidth="1"/>
    <col min="151" max="151" width="15" customWidth="1"/>
    <col min="152" max="152" width="14.42578125" customWidth="1"/>
    <col min="153" max="153" width="14.7109375" customWidth="1"/>
    <col min="154" max="154" width="14.42578125" customWidth="1"/>
    <col min="155" max="155" width="14.5703125" customWidth="1"/>
    <col min="156" max="156" width="14.42578125" customWidth="1"/>
    <col min="157" max="157" width="14.85546875" customWidth="1"/>
    <col min="158" max="158" width="14" customWidth="1"/>
    <col min="159" max="159" width="13.5703125" customWidth="1"/>
    <col min="160" max="160" width="14.28515625" customWidth="1"/>
    <col min="161" max="161" width="13.7109375" customWidth="1"/>
    <col min="162" max="162" width="14.140625" customWidth="1"/>
    <col min="163" max="163" width="13.7109375" customWidth="1"/>
    <col min="164" max="164" width="14.140625" customWidth="1"/>
    <col min="165" max="165" width="15" customWidth="1"/>
    <col min="166" max="166" width="13.5703125" customWidth="1"/>
    <col min="167" max="167" width="14.28515625" customWidth="1"/>
    <col min="168" max="168" width="14.5703125" customWidth="1"/>
    <col min="169" max="169" width="14" customWidth="1"/>
    <col min="170" max="170" width="13.5703125" customWidth="1"/>
    <col min="171" max="171" width="13.85546875" customWidth="1"/>
    <col min="172" max="172" width="14" customWidth="1"/>
    <col min="173" max="173" width="14.28515625" customWidth="1"/>
    <col min="174" max="174" width="14.85546875" customWidth="1"/>
    <col min="175" max="175" width="14.5703125" customWidth="1"/>
    <col min="176" max="176" width="14.42578125" customWidth="1"/>
    <col min="177" max="177" width="14.140625" customWidth="1"/>
    <col min="178" max="178" width="14.28515625" customWidth="1"/>
    <col min="179" max="180" width="14.7109375" customWidth="1"/>
    <col min="181" max="181" width="13.42578125" customWidth="1"/>
    <col min="182" max="182" width="14.42578125" customWidth="1"/>
    <col min="183" max="183" width="14.140625" customWidth="1"/>
    <col min="184" max="184" width="14.7109375" customWidth="1"/>
    <col min="185" max="185" width="13.85546875" customWidth="1"/>
    <col min="186" max="186" width="14.28515625" customWidth="1"/>
    <col min="187" max="187" width="14.7109375" customWidth="1"/>
    <col min="188" max="188" width="14.140625" customWidth="1"/>
    <col min="189" max="189" width="14" customWidth="1"/>
    <col min="190" max="190" width="14.5703125" customWidth="1"/>
    <col min="191" max="191" width="13.7109375" customWidth="1"/>
    <col min="192" max="192" width="14.140625" customWidth="1"/>
    <col min="193" max="193" width="13.7109375" customWidth="1"/>
    <col min="194" max="194" width="14" customWidth="1"/>
    <col min="195" max="195" width="14.7109375" customWidth="1"/>
    <col min="196" max="196" width="14.85546875" customWidth="1"/>
    <col min="197" max="197" width="13.5703125" customWidth="1"/>
    <col min="198" max="198" width="14.28515625" customWidth="1"/>
    <col min="199" max="199" width="14.5703125" customWidth="1"/>
    <col min="200" max="200" width="14.140625" customWidth="1"/>
    <col min="201" max="201" width="14.5703125" customWidth="1"/>
    <col min="202" max="202" width="14.7109375" customWidth="1"/>
    <col min="203" max="204" width="14.140625" customWidth="1"/>
    <col min="205" max="205" width="15.7109375" customWidth="1"/>
    <col min="206" max="206" width="14.85546875" customWidth="1"/>
    <col min="207" max="207" width="14" customWidth="1"/>
    <col min="208" max="208" width="13.42578125" customWidth="1"/>
    <col min="209" max="209" width="13.85546875" customWidth="1"/>
    <col min="210" max="210" width="14.140625" customWidth="1"/>
    <col min="211" max="211" width="14.7109375" customWidth="1"/>
    <col min="212" max="212" width="14.28515625" customWidth="1"/>
    <col min="213" max="213" width="13.42578125" customWidth="1"/>
    <col min="214" max="214" width="14.140625" customWidth="1"/>
    <col min="215" max="215" width="14.7109375" customWidth="1"/>
    <col min="216" max="216" width="14.85546875" customWidth="1"/>
    <col min="217" max="217" width="14.42578125" customWidth="1"/>
    <col min="218" max="218" width="14.140625" customWidth="1"/>
    <col min="219" max="219" width="14" customWidth="1"/>
    <col min="220" max="220" width="13.42578125" customWidth="1"/>
    <col min="221" max="221" width="13.5703125" customWidth="1"/>
    <col min="222" max="222" width="14.85546875" customWidth="1"/>
    <col min="223" max="224" width="13.7109375" customWidth="1"/>
    <col min="225" max="225" width="14.7109375" customWidth="1"/>
    <col min="226" max="226" width="14.5703125" customWidth="1"/>
    <col min="227" max="227" width="14.140625" customWidth="1"/>
    <col min="228" max="228" width="14.28515625" customWidth="1"/>
    <col min="229" max="229" width="13.7109375" customWidth="1"/>
    <col min="230" max="230" width="14.140625" customWidth="1"/>
    <col min="231" max="231" width="13.7109375" customWidth="1"/>
    <col min="232" max="232" width="15.140625" customWidth="1"/>
    <col min="233" max="233" width="14.28515625" customWidth="1"/>
    <col min="234" max="234" width="14.140625" customWidth="1"/>
    <col min="235" max="235" width="14.42578125" customWidth="1"/>
  </cols>
  <sheetData>
    <row r="1" spans="1:239" ht="16.5" thickTop="1" thickBot="1" x14ac:dyDescent="0.3">
      <c r="A1" t="s">
        <v>78</v>
      </c>
      <c r="B1" t="s">
        <v>79</v>
      </c>
      <c r="C1" t="s">
        <v>81</v>
      </c>
      <c r="D1" t="s">
        <v>92</v>
      </c>
      <c r="E1" s="15" t="s">
        <v>94</v>
      </c>
      <c r="F1" s="15" t="s">
        <v>95</v>
      </c>
      <c r="G1" s="15" t="s">
        <v>96</v>
      </c>
      <c r="H1" s="15" t="s">
        <v>97</v>
      </c>
      <c r="I1" s="15" t="s">
        <v>98</v>
      </c>
      <c r="J1" s="15" t="s">
        <v>99</v>
      </c>
      <c r="K1" s="15" t="s">
        <v>100</v>
      </c>
      <c r="L1" s="2" t="s">
        <v>101</v>
      </c>
      <c r="M1" s="2" t="s">
        <v>102</v>
      </c>
      <c r="N1" s="2" t="s">
        <v>103</v>
      </c>
      <c r="O1" s="2" t="s">
        <v>104</v>
      </c>
      <c r="P1" s="2" t="s">
        <v>105</v>
      </c>
      <c r="Q1" s="2" t="s">
        <v>106</v>
      </c>
      <c r="R1" s="2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16" t="s">
        <v>113</v>
      </c>
      <c r="Y1" s="16" t="s">
        <v>114</v>
      </c>
      <c r="Z1" s="2" t="s">
        <v>115</v>
      </c>
      <c r="AA1" s="2" t="s">
        <v>116</v>
      </c>
      <c r="AB1" s="2" t="s">
        <v>117</v>
      </c>
      <c r="AC1" s="2" t="s">
        <v>118</v>
      </c>
      <c r="AD1" s="2" t="s">
        <v>119</v>
      </c>
      <c r="AE1" s="2" t="s">
        <v>120</v>
      </c>
      <c r="AF1" s="2" t="s">
        <v>121</v>
      </c>
      <c r="AG1" s="15" t="s">
        <v>122</v>
      </c>
      <c r="AH1" s="15" t="s">
        <v>123</v>
      </c>
      <c r="AI1" s="15" t="s">
        <v>124</v>
      </c>
      <c r="AJ1" s="15" t="s">
        <v>125</v>
      </c>
      <c r="AK1" s="15" t="s">
        <v>126</v>
      </c>
      <c r="AL1" s="15" t="s">
        <v>127</v>
      </c>
      <c r="AM1" s="15" t="s">
        <v>128</v>
      </c>
      <c r="AN1" s="16" t="s">
        <v>129</v>
      </c>
      <c r="AO1" s="16" t="s">
        <v>130</v>
      </c>
      <c r="AP1" s="16" t="s">
        <v>131</v>
      </c>
      <c r="AQ1" s="16" t="s">
        <v>132</v>
      </c>
      <c r="AR1" s="16" t="s">
        <v>133</v>
      </c>
      <c r="AS1" s="16" t="s">
        <v>134</v>
      </c>
      <c r="AT1" s="16" t="s">
        <v>135</v>
      </c>
      <c r="AU1" s="2" t="s">
        <v>136</v>
      </c>
      <c r="AV1" s="2" t="s">
        <v>137</v>
      </c>
      <c r="AW1" s="2" t="s">
        <v>138</v>
      </c>
      <c r="AX1" s="2" t="s">
        <v>139</v>
      </c>
      <c r="AY1" s="2" t="s">
        <v>140</v>
      </c>
      <c r="AZ1" s="2" t="s">
        <v>141</v>
      </c>
      <c r="BA1" s="2" t="s">
        <v>142</v>
      </c>
      <c r="BB1" s="15" t="s">
        <v>143</v>
      </c>
      <c r="BC1" s="15" t="s">
        <v>144</v>
      </c>
      <c r="BD1" s="15" t="s">
        <v>145</v>
      </c>
      <c r="BE1" s="15" t="s">
        <v>146</v>
      </c>
      <c r="BF1" s="15" t="s">
        <v>147</v>
      </c>
      <c r="BG1" s="15" t="s">
        <v>148</v>
      </c>
      <c r="BH1" s="15" t="s">
        <v>149</v>
      </c>
      <c r="BI1" s="2" t="s">
        <v>150</v>
      </c>
      <c r="BJ1" s="2" t="s">
        <v>151</v>
      </c>
      <c r="BK1" s="2" t="s">
        <v>152</v>
      </c>
      <c r="BL1" s="2" t="s">
        <v>153</v>
      </c>
      <c r="BM1" s="2" t="s">
        <v>154</v>
      </c>
      <c r="BN1" s="2" t="s">
        <v>155</v>
      </c>
      <c r="BO1" s="2" t="s">
        <v>156</v>
      </c>
      <c r="BP1" s="1" t="s">
        <v>157</v>
      </c>
      <c r="BQ1" s="1" t="s">
        <v>158</v>
      </c>
      <c r="BR1" s="1" t="s">
        <v>159</v>
      </c>
      <c r="BS1" s="1" t="s">
        <v>160</v>
      </c>
      <c r="BT1" s="1" t="s">
        <v>161</v>
      </c>
      <c r="BU1" s="1" t="s">
        <v>162</v>
      </c>
      <c r="BV1" s="1" t="s">
        <v>163</v>
      </c>
      <c r="BW1" s="3" t="s">
        <v>164</v>
      </c>
      <c r="BX1" s="3" t="s">
        <v>165</v>
      </c>
      <c r="BY1" s="3" t="s">
        <v>166</v>
      </c>
      <c r="BZ1" s="3" t="s">
        <v>167</v>
      </c>
      <c r="CA1" s="3" t="s">
        <v>168</v>
      </c>
      <c r="CB1" s="3" t="s">
        <v>169</v>
      </c>
      <c r="CC1" s="3" t="s">
        <v>170</v>
      </c>
      <c r="CD1" s="4" t="s">
        <v>171</v>
      </c>
      <c r="CE1" s="4" t="s">
        <v>172</v>
      </c>
      <c r="CF1" s="4" t="s">
        <v>173</v>
      </c>
      <c r="CG1" s="4" t="s">
        <v>174</v>
      </c>
      <c r="CH1" s="4" t="s">
        <v>175</v>
      </c>
      <c r="CI1" s="4" t="s">
        <v>176</v>
      </c>
      <c r="CJ1" s="4" t="s">
        <v>177</v>
      </c>
      <c r="CK1" s="5" t="s">
        <v>178</v>
      </c>
      <c r="CL1" s="5" t="s">
        <v>179</v>
      </c>
      <c r="CM1" s="5" t="s">
        <v>180</v>
      </c>
      <c r="CN1" s="5" t="s">
        <v>181</v>
      </c>
      <c r="CO1" s="5" t="s">
        <v>182</v>
      </c>
      <c r="CP1" s="5" t="s">
        <v>183</v>
      </c>
      <c r="CQ1" s="5" t="s">
        <v>184</v>
      </c>
      <c r="CR1" s="6" t="s">
        <v>185</v>
      </c>
      <c r="CS1" s="6" t="s">
        <v>186</v>
      </c>
      <c r="CT1" s="6" t="s">
        <v>187</v>
      </c>
      <c r="CU1" s="6" t="s">
        <v>188</v>
      </c>
      <c r="CV1" s="6" t="s">
        <v>189</v>
      </c>
      <c r="CW1" s="6" t="s">
        <v>190</v>
      </c>
      <c r="CX1" s="6" t="s">
        <v>191</v>
      </c>
      <c r="CY1" s="7" t="s">
        <v>192</v>
      </c>
      <c r="CZ1" s="7" t="s">
        <v>193</v>
      </c>
      <c r="DA1" s="7" t="s">
        <v>194</v>
      </c>
      <c r="DB1" s="7" t="s">
        <v>195</v>
      </c>
      <c r="DC1" s="7" t="s">
        <v>196</v>
      </c>
      <c r="DD1" s="7" t="s">
        <v>197</v>
      </c>
      <c r="DE1" s="7" t="s">
        <v>198</v>
      </c>
      <c r="DF1" s="8" t="s">
        <v>199</v>
      </c>
      <c r="DG1" s="8" t="s">
        <v>200</v>
      </c>
      <c r="DH1" s="8" t="s">
        <v>201</v>
      </c>
      <c r="DI1" s="8" t="s">
        <v>202</v>
      </c>
      <c r="DJ1" s="8" t="s">
        <v>203</v>
      </c>
      <c r="DK1" s="8" t="s">
        <v>204</v>
      </c>
      <c r="DL1" s="8" t="s">
        <v>205</v>
      </c>
      <c r="DM1" s="9" t="s">
        <v>206</v>
      </c>
      <c r="DN1" s="9" t="s">
        <v>207</v>
      </c>
      <c r="DO1" s="9" t="s">
        <v>208</v>
      </c>
      <c r="DP1" s="9" t="s">
        <v>209</v>
      </c>
      <c r="DQ1" s="9" t="s">
        <v>210</v>
      </c>
      <c r="DR1" s="9" t="s">
        <v>211</v>
      </c>
      <c r="DS1" s="9" t="s">
        <v>212</v>
      </c>
      <c r="DT1" s="8" t="s">
        <v>213</v>
      </c>
      <c r="DU1" s="8" t="s">
        <v>214</v>
      </c>
      <c r="DV1" s="8" t="s">
        <v>215</v>
      </c>
      <c r="DW1" s="8" t="s">
        <v>216</v>
      </c>
      <c r="DX1" s="8" t="s">
        <v>217</v>
      </c>
      <c r="DY1" s="8" t="s">
        <v>218</v>
      </c>
      <c r="DZ1" s="8" t="s">
        <v>219</v>
      </c>
      <c r="EA1" s="10" t="s">
        <v>220</v>
      </c>
      <c r="EB1" s="10" t="s">
        <v>221</v>
      </c>
      <c r="EC1" s="10" t="s">
        <v>222</v>
      </c>
      <c r="ED1" s="10" t="s">
        <v>223</v>
      </c>
      <c r="EE1" s="10" t="s">
        <v>224</v>
      </c>
      <c r="EF1" s="10" t="s">
        <v>225</v>
      </c>
      <c r="EG1" s="10" t="s">
        <v>226</v>
      </c>
      <c r="EH1" s="9" t="s">
        <v>227</v>
      </c>
      <c r="EI1" s="9" t="s">
        <v>228</v>
      </c>
      <c r="EJ1" s="9" t="s">
        <v>229</v>
      </c>
      <c r="EK1" s="9" t="s">
        <v>230</v>
      </c>
      <c r="EL1" s="9" t="s">
        <v>231</v>
      </c>
      <c r="EM1" s="9" t="s">
        <v>232</v>
      </c>
      <c r="EN1" s="9" t="s">
        <v>233</v>
      </c>
      <c r="EO1" s="11" t="s">
        <v>234</v>
      </c>
      <c r="EP1" s="11" t="s">
        <v>235</v>
      </c>
      <c r="EQ1" s="11" t="s">
        <v>236</v>
      </c>
      <c r="ER1" s="11" t="s">
        <v>237</v>
      </c>
      <c r="ES1" s="11" t="s">
        <v>238</v>
      </c>
      <c r="ET1" s="11" t="s">
        <v>239</v>
      </c>
      <c r="EU1" s="11" t="s">
        <v>240</v>
      </c>
      <c r="EV1" s="8" t="s">
        <v>241</v>
      </c>
      <c r="EW1" s="8" t="s">
        <v>242</v>
      </c>
      <c r="EX1" s="8" t="s">
        <v>243</v>
      </c>
      <c r="EY1" s="8" t="s">
        <v>244</v>
      </c>
      <c r="EZ1" s="8" t="s">
        <v>245</v>
      </c>
      <c r="FA1" s="8" t="s">
        <v>246</v>
      </c>
      <c r="FB1" s="8" t="s">
        <v>247</v>
      </c>
      <c r="FC1" s="9" t="s">
        <v>248</v>
      </c>
      <c r="FD1" s="9" t="s">
        <v>249</v>
      </c>
      <c r="FE1" s="9" t="s">
        <v>250</v>
      </c>
      <c r="FF1" s="9" t="s">
        <v>251</v>
      </c>
      <c r="FG1" s="9" t="s">
        <v>252</v>
      </c>
      <c r="FH1" s="9" t="s">
        <v>253</v>
      </c>
      <c r="FI1" s="9" t="s">
        <v>254</v>
      </c>
      <c r="FJ1" s="10" t="s">
        <v>255</v>
      </c>
      <c r="FK1" s="10" t="s">
        <v>256</v>
      </c>
      <c r="FL1" s="10" t="s">
        <v>257</v>
      </c>
      <c r="FM1" s="10" t="s">
        <v>258</v>
      </c>
      <c r="FN1" s="10" t="s">
        <v>259</v>
      </c>
      <c r="FO1" s="10" t="s">
        <v>260</v>
      </c>
      <c r="FP1" s="10" t="s">
        <v>261</v>
      </c>
      <c r="FQ1" s="12" t="s">
        <v>262</v>
      </c>
      <c r="FR1" s="12" t="s">
        <v>263</v>
      </c>
      <c r="FS1" s="12" t="s">
        <v>264</v>
      </c>
      <c r="FT1" s="12" t="s">
        <v>265</v>
      </c>
      <c r="FU1" s="12" t="s">
        <v>266</v>
      </c>
      <c r="FV1" s="12" t="s">
        <v>267</v>
      </c>
      <c r="FW1" s="12" t="s">
        <v>268</v>
      </c>
      <c r="FX1" s="13" t="s">
        <v>269</v>
      </c>
      <c r="FY1" s="13" t="s">
        <v>270</v>
      </c>
      <c r="FZ1" s="13" t="s">
        <v>271</v>
      </c>
      <c r="GA1" s="13" t="s">
        <v>272</v>
      </c>
      <c r="GB1" s="13" t="s">
        <v>273</v>
      </c>
      <c r="GC1" s="13" t="s">
        <v>274</v>
      </c>
      <c r="GD1" s="13" t="s">
        <v>275</v>
      </c>
      <c r="GE1" s="14" t="s">
        <v>276</v>
      </c>
      <c r="GF1" s="14" t="s">
        <v>277</v>
      </c>
      <c r="GG1" s="14" t="s">
        <v>278</v>
      </c>
      <c r="GH1" s="14" t="s">
        <v>279</v>
      </c>
      <c r="GI1" s="14" t="s">
        <v>280</v>
      </c>
      <c r="GJ1" s="14" t="s">
        <v>281</v>
      </c>
      <c r="GK1" s="14" t="s">
        <v>282</v>
      </c>
      <c r="GL1" s="8" t="s">
        <v>283</v>
      </c>
      <c r="GM1" s="8" t="s">
        <v>284</v>
      </c>
      <c r="GN1" s="8" t="s">
        <v>285</v>
      </c>
      <c r="GO1" s="8" t="s">
        <v>286</v>
      </c>
      <c r="GP1" s="8" t="s">
        <v>287</v>
      </c>
      <c r="GQ1" s="8" t="s">
        <v>288</v>
      </c>
      <c r="GR1" s="8" t="s">
        <v>289</v>
      </c>
      <c r="GS1" s="9" t="s">
        <v>290</v>
      </c>
      <c r="GT1" s="9" t="s">
        <v>291</v>
      </c>
      <c r="GU1" s="9" t="s">
        <v>292</v>
      </c>
      <c r="GV1" s="9" t="s">
        <v>293</v>
      </c>
      <c r="GW1" s="9" t="s">
        <v>294</v>
      </c>
      <c r="GX1" s="9" t="s">
        <v>295</v>
      </c>
      <c r="GY1" s="9" t="s">
        <v>296</v>
      </c>
      <c r="GZ1" s="10" t="s">
        <v>297</v>
      </c>
      <c r="HA1" s="10" t="s">
        <v>298</v>
      </c>
      <c r="HB1" s="10" t="s">
        <v>299</v>
      </c>
      <c r="HC1" s="10" t="s">
        <v>300</v>
      </c>
      <c r="HD1" s="10" t="s">
        <v>301</v>
      </c>
      <c r="HE1" s="10" t="s">
        <v>302</v>
      </c>
      <c r="HF1" s="10" t="s">
        <v>303</v>
      </c>
      <c r="HG1" s="9" t="s">
        <v>304</v>
      </c>
      <c r="HH1" s="9" t="s">
        <v>305</v>
      </c>
      <c r="HI1" s="9" t="s">
        <v>306</v>
      </c>
      <c r="HJ1" s="9" t="s">
        <v>307</v>
      </c>
      <c r="HK1" s="9" t="s">
        <v>308</v>
      </c>
      <c r="HL1" s="9" t="s">
        <v>309</v>
      </c>
      <c r="HM1" s="9" t="s">
        <v>310</v>
      </c>
      <c r="HN1" s="11" t="s">
        <v>311</v>
      </c>
      <c r="HO1" s="11" t="s">
        <v>312</v>
      </c>
      <c r="HP1" s="11" t="s">
        <v>313</v>
      </c>
      <c r="HQ1" s="11" t="s">
        <v>314</v>
      </c>
      <c r="HR1" s="11" t="s">
        <v>315</v>
      </c>
      <c r="HS1" s="11" t="s">
        <v>316</v>
      </c>
      <c r="HT1" s="11" t="s">
        <v>317</v>
      </c>
      <c r="HU1" s="8" t="s">
        <v>318</v>
      </c>
      <c r="HV1" s="8" t="s">
        <v>319</v>
      </c>
      <c r="HW1" s="8" t="s">
        <v>320</v>
      </c>
      <c r="HX1" s="8" t="s">
        <v>321</v>
      </c>
      <c r="HY1" s="8" t="s">
        <v>322</v>
      </c>
      <c r="HZ1" s="8" t="s">
        <v>323</v>
      </c>
      <c r="IA1" s="8" t="s">
        <v>324</v>
      </c>
    </row>
    <row r="2" spans="1:239" ht="15.75" thickTop="1" x14ac:dyDescent="0.25">
      <c r="A2" t="str">
        <f>IF(nomemp1="","",codiexp1)</f>
        <v/>
      </c>
      <c r="B2" t="str">
        <f>UPPER(IF(nomemp1=" ", " ",nomemp1))</f>
        <v/>
      </c>
      <c r="C2" t="str">
        <f>UPPER(IF(nif_1= " ", " ", nif_1))</f>
        <v/>
      </c>
      <c r="D2" t="str">
        <f>UPPER(IF(codiparticipant00="","",codiparticipant00))</f>
        <v>-00</v>
      </c>
      <c r="E2" s="21" t="str">
        <f>IF(nomemp1="", "",IF(ajudes2017="", "",ajudes2017))</f>
        <v/>
      </c>
      <c r="F2" s="21" t="str">
        <f>IF(nomemp1="", "",IF(ajudes2018="", "",ajudes2018))</f>
        <v/>
      </c>
      <c r="G2" s="21" t="str">
        <f>IF(nomemp1="", "",IF(ajudes2019="", "",ajudes2019))</f>
        <v/>
      </c>
      <c r="H2" s="21" t="str">
        <f>IF(nomemp1="", "",IF(ajudes2020="", "",ajudes2020))</f>
        <v/>
      </c>
      <c r="I2" s="21" t="str">
        <f>IF(nomemp1="", "",IF(ajudes2021="", "",ajudes2021))</f>
        <v/>
      </c>
      <c r="J2" s="21" t="str">
        <f>IF(nomemp1="", "",IF(ajudes2022="", "",ajudes2022))</f>
        <v/>
      </c>
      <c r="K2" s="21" t="str">
        <f>IF(nomemp1="", "",IF(ajudes2023="", "",ajudes2023))</f>
        <v/>
      </c>
      <c r="L2" s="17" t="str">
        <f>IF(nomemp1= " ", " ", IF(subvencions2017="","",subvencions2017))</f>
        <v/>
      </c>
      <c r="M2" s="50" t="str">
        <f>IF(nomemp1= " ", " ", IF(subvencions2018="","",subvencions2018))</f>
        <v/>
      </c>
      <c r="N2" s="17" t="str">
        <f>IF(nomemp1= " ", " ", IF(subvencions2019="","",subvencions2019))</f>
        <v/>
      </c>
      <c r="O2" s="17" t="str">
        <f>IF(nomemp1= " ", " ", IF(subvencions2020="","",subvencions2020))</f>
        <v/>
      </c>
      <c r="P2" s="17" t="str">
        <f>IF(nomemp1= " ", " ", IF(subvencions2021="","",subvencions2021))</f>
        <v/>
      </c>
      <c r="Q2" s="17" t="str">
        <f>IF(nomemp1= " ", " ", IF(subvencions2022="","",subvencions2022))</f>
        <v/>
      </c>
      <c r="R2" s="17" t="str">
        <f>IF(nomemp1= " ", " ", IF(subvencions2023="","",subvencions2023))</f>
        <v/>
      </c>
      <c r="S2" s="17" t="str">
        <f>IF(nomemp1= " ", "",IF(iprivadaipublica2017="","",iprivadaipublica2017))</f>
        <v/>
      </c>
      <c r="T2" s="17" t="str">
        <f>IF(nomemp1= " ", "",IF(iprivadaipublica2018="","",iprivadaipublica2018))</f>
        <v/>
      </c>
      <c r="U2" s="17" t="str">
        <f>IF(nomemp1= " ", "",IF(iprivadaipublica2019="","",iprivadaipublica2019))</f>
        <v/>
      </c>
      <c r="V2" s="17" t="str">
        <f>IF(nomemp1= " ", "",IF(iprivadaipublica2020="","",iprivadaipublica2020))</f>
        <v/>
      </c>
      <c r="W2" s="17" t="str">
        <f>IF(nomemp1= " ", "",IF(iprivadaipublica2021="","",iprivadaipublica2021))</f>
        <v/>
      </c>
      <c r="X2" s="17" t="str">
        <f>IF(nomemp1= " ", "",IF(iprivadaipublica2022="","",iprivadaipublica2022))</f>
        <v/>
      </c>
      <c r="Y2" s="17" t="str">
        <f>IF(nomemp1= " ", "",IF(iprivadaipublica2023="","",iprivadaipublica2023))</f>
        <v/>
      </c>
      <c r="Z2" s="17" t="str">
        <f>IF(nomemp1="","",IF(copera2017="","",copera2017))</f>
        <v/>
      </c>
      <c r="AA2" s="17" t="str">
        <f>IF(nomemp1="","",IF(copera2018="","",copera2018))</f>
        <v/>
      </c>
      <c r="AB2" s="17" t="str">
        <f>IF(nomemp1="","",IF(copera2019="","",copera2019))</f>
        <v/>
      </c>
      <c r="AC2" s="17" t="str">
        <f>IF(nomemp1="","",IF(copera2020="","",copera2020))</f>
        <v/>
      </c>
      <c r="AD2" s="17" t="str">
        <f>IF(nomemp1="","",IF(copera2021="","",copera2021))</f>
        <v/>
      </c>
      <c r="AE2" s="17" t="str">
        <f>IF(nomemp1="","",IF(copera2022="","",copera2022))</f>
        <v/>
      </c>
      <c r="AF2" s="17" t="str">
        <f>IF(nomemp1="","",IF(copera2023="","",copera2023))</f>
        <v/>
      </c>
      <c r="AG2" s="17" t="str">
        <f>IF(nomemp1="","",IF(investigadorshomes2017="","",investigadorshomes2017))</f>
        <v/>
      </c>
      <c r="AH2" s="17" t="str">
        <f>IF(nomemp1="","",IF(investigadorshomes2018="","",investigadorshomes2018))</f>
        <v/>
      </c>
      <c r="AI2" s="17" t="str">
        <f>IF(nomemp1="","",IF(investigadorshomes2019="","",investigadorshomes2019))</f>
        <v/>
      </c>
      <c r="AJ2" s="17" t="str">
        <f>IF(nomemp1="","",IF(investigadorshomes2020="","",investigadorshomes2020))</f>
        <v/>
      </c>
      <c r="AK2" s="17" t="str">
        <f>IF(nomemp1="","",IF(investigadorshomes2021="","",investigadorshomes2021))</f>
        <v/>
      </c>
      <c r="AL2" s="17" t="str">
        <f>IF(nomemp1="","",IF(investigadorshomes2022="","",investigadorshomes2022))</f>
        <v/>
      </c>
      <c r="AM2" s="17" t="str">
        <f>IF(nomemp1="","",IF(investigadorshomes2023="","",investigadorshomes2023))</f>
        <v/>
      </c>
      <c r="AN2" s="52" t="str">
        <f>IF(nomemp1="","",IF(investigadorsdones2017= "","",investigadorsdones2017))</f>
        <v/>
      </c>
      <c r="AO2" s="17" t="str">
        <f>IF(nomemp1="","",IF(investigadorsdones2018= "","",investigadorsdones2018))</f>
        <v/>
      </c>
      <c r="AP2" s="17" t="str">
        <f>IF(nomemp1="","",IF(investigadorsdones2019= "","",investigadorsdones2019))</f>
        <v/>
      </c>
      <c r="AQ2" s="17" t="str">
        <f>IF(nomemp1="","",IF(investigadorsdones2020= "","",investigadorsdones2020))</f>
        <v/>
      </c>
      <c r="AR2" s="17" t="str">
        <f>IF(nomemp1="","",IF(investigadorsdones2021= "","",investigadorsdones2021))</f>
        <v/>
      </c>
      <c r="AS2" s="17" t="str">
        <f>IF(nomemp1="","",IF(investigadorsdones2022= "","",investigadorsdones2022))</f>
        <v/>
      </c>
      <c r="AT2" s="17" t="str">
        <f>IF(nomemp1="","",IF(investigadorsdones2023= "","",investigadorsdones2023))</f>
        <v/>
      </c>
      <c r="AU2" s="52" t="str">
        <f>IF(nomemp1=" ", " ",IF(investigadorstotal2017="","",investigadorstotal2017))</f>
        <v/>
      </c>
      <c r="AV2" s="17" t="str">
        <f>IF(nomemp1=" ", " ",IF(investigadorstotal2018="","",investigadorstotal2018))</f>
        <v/>
      </c>
      <c r="AW2" s="17" t="str">
        <f>IF(nomemp1=" ", " ",IF(investigadorstotal2019="","",investigadorstotal2019))</f>
        <v/>
      </c>
      <c r="AX2" s="17" t="str">
        <f>IF(nomemp1=" ", " ",IF(investigadorstotal2020="","",investigadorstotal2020))</f>
        <v/>
      </c>
      <c r="AY2" s="17" t="str">
        <f>IF(nomemp1=" ", " ",IF(investigadorstotal2021="","",investigadorstotal2021))</f>
        <v/>
      </c>
      <c r="AZ2" s="17" t="str">
        <f>IF(nomemp1=" ", " ",IF(investigadorstotal2022="","",investigadorstotal2022))</f>
        <v/>
      </c>
      <c r="BA2" s="17" t="str">
        <f>IF(nomemp1=" ", " ",IF(investigadorstotal2023="","",investigadorstotal2023))</f>
        <v/>
      </c>
      <c r="BB2" s="50" t="str">
        <f>IF(nomemp1=" ", " ",IF(certificacio2017="","",certificacio2017))</f>
        <v/>
      </c>
      <c r="BC2" s="17" t="str">
        <f>IF(nomemp1=" ", " ",IF(certificacio2018="","",certificacio2018))</f>
        <v/>
      </c>
      <c r="BD2" s="17" t="str">
        <f>IF(nomemp1=" "," ",IF(certificacio2019="","",certificacio2019))</f>
        <v/>
      </c>
      <c r="BE2" s="17" t="str">
        <f>IF(nomemp1=" ", " ",IF(certificacio2020="","",certificacio2020))</f>
        <v/>
      </c>
      <c r="BF2" s="17" t="str">
        <f>IF(nomemp1=" ", " ",IF(certificacio2021="","",certificacio2021))</f>
        <v/>
      </c>
      <c r="BG2" s="17" t="str">
        <f>IF(nomemp1=" ", " ",IF(certificacio2022="","",certificacio2022))</f>
        <v/>
      </c>
      <c r="BH2" s="17" t="str">
        <f>IF(nomemp1=" ", " ",IF(certificacio2023="","",certificacio2023))</f>
        <v/>
      </c>
      <c r="BI2" s="50" t="str">
        <f>IF(nomemp1="","",IF(ipublica2017="","",ipublica2017))</f>
        <v/>
      </c>
      <c r="BJ2" s="17" t="str">
        <f>IF(nomemp1="","",IF(ipublica2018="","",ipublica2018))</f>
        <v/>
      </c>
      <c r="BK2" s="17" t="str">
        <f>IF(nomemp1="","",IF(ipublica2019="","",ipublica2019))</f>
        <v/>
      </c>
      <c r="BL2" s="17" t="str">
        <f>IF(nomemp1="","",IF(ipublica2020="","",ipublica2020))</f>
        <v/>
      </c>
      <c r="BM2" s="17" t="str">
        <f>IF(nomemp1="","",IF(ipublica2021="","",ipublica2021))</f>
        <v/>
      </c>
      <c r="BN2" s="17" t="str">
        <f>IF(nomemp1="","",IF(ipublica2022="","",ipublica2022))</f>
        <v/>
      </c>
      <c r="BO2" s="17" t="str">
        <f>IF(nomemp1="","",IF(ipublica2023="","",ipublica2023))</f>
        <v/>
      </c>
      <c r="BP2" s="50" t="str">
        <f>IF(nomemp1="","",IF(iprivada2017="","",iprivada2017))</f>
        <v/>
      </c>
      <c r="BQ2" s="17" t="str">
        <f>IF(nomemp1="","",IF(iprivada2018="","",iprivada2018))</f>
        <v/>
      </c>
      <c r="BR2" s="17" t="str">
        <f>IF(nomemp1="","",IF(iprivada2019="","",iprivada2019))</f>
        <v/>
      </c>
      <c r="BS2" s="17" t="str">
        <f>IF(nomemp1="","",IF(iprivada2020="","",iprivada2020))</f>
        <v/>
      </c>
      <c r="BT2" s="17" t="str">
        <f>IF(nomemp1="","",IF(iprivada2021="","",iprivada2021))</f>
        <v/>
      </c>
      <c r="BU2" s="17" t="str">
        <f>IF(nomemp1="","",IF(iprivada2022="","",iprivada2022))</f>
        <v/>
      </c>
      <c r="BV2" s="17" t="str">
        <f>IF(nomemp1="","",IF(iprivada2023="","",iprivada2023))</f>
        <v/>
      </c>
      <c r="BW2" s="51" t="str">
        <f>IF(nomemp1="","",IF(investigadorstotalprojecte2017="","",investigadorstotalprojecte2017))</f>
        <v/>
      </c>
      <c r="BX2" s="17" t="str">
        <f>IF(nomemp1="","",IF(investigadorstotalprojecte2018="","",investigadorstotalprojecte2018))</f>
        <v/>
      </c>
      <c r="BY2" s="17" t="str">
        <f>IF(nomemp1="","",IF(investigadorstotalprojecte2019="","",investigadorstotalprojecte2019))</f>
        <v/>
      </c>
      <c r="BZ2" s="17" t="str">
        <f>IF(nomemp1="","",IF(investigadorstotalprojecte2020="","",investigadorstotalprojecte2020))</f>
        <v/>
      </c>
      <c r="CA2" s="17" t="str">
        <f>IF(nomemp1="","",IF(investigadorstotalprojecte2021="","",investigadorstotalprojecte2021))</f>
        <v/>
      </c>
      <c r="CB2" s="17" t="str">
        <f>IF(nomemp1="","",IF(investigadorstotalprojecte2022="","",investigadorstotalprojecte2022))</f>
        <v/>
      </c>
      <c r="CC2" s="17" t="str">
        <f>IF(nomemp1="","",IF(investigadorstotalprojecte2023="","",investigadorstotalprojecte2023))</f>
        <v/>
      </c>
      <c r="CD2" s="51" t="str">
        <f>IF(nomemp1="","",IF(investigadorshomesprojecte2017="","",investigadorshomesprojecte2017))</f>
        <v/>
      </c>
      <c r="CE2" s="17" t="str">
        <f>IF(nomemp1="","",IF(investigadorshomesprojecte2018="","",investigadorshomesprojecte2018))</f>
        <v/>
      </c>
      <c r="CF2" s="17" t="str">
        <f>IF(nomemp1="","",IF(investigadorshomesprojecte2019="","",investigadorshomesprojecte2019))</f>
        <v/>
      </c>
      <c r="CG2" s="17" t="str">
        <f>IF(nomemp1="","",IF(investigadorshomesprojecte2020="","",investigadorshomesprojecte2020))</f>
        <v/>
      </c>
      <c r="CH2" s="17" t="str">
        <f>IF(nomemp1="","",IF(investigadorshomesprojecte2021="","",investigadorshomesprojecte2021))</f>
        <v/>
      </c>
      <c r="CI2" s="17" t="str">
        <f>IF(nomemp1="","",IF(investigadorshomesprojecte2022="","",investigadorshomesprojecte2022))</f>
        <v/>
      </c>
      <c r="CJ2" s="17" t="str">
        <f>IF(nomemp1="","",IF(investigadorshomesprojecte2023="","",investigadorshomesprojecte2023))</f>
        <v/>
      </c>
      <c r="CK2" s="51" t="str">
        <f>IF(nomemp1="","",IF(investigadorsdonesprojecte2017="","",investigadorsdonesprojecte2017))</f>
        <v/>
      </c>
      <c r="CL2" s="17" t="str">
        <f>IF(nomemp1="","",IF(investigadorsdonesprojecte2018="","",investigadorsdonesprojecte2018))</f>
        <v/>
      </c>
      <c r="CM2" s="17" t="str">
        <f>IF(nomemp1="","",IF(investigadorsdonesprojecte2019="","",investigadorsdonesprojecte2019))</f>
        <v/>
      </c>
      <c r="CN2" s="17" t="str">
        <f>IF(nomemp1="","",IF(investigadorsdonesprojecte2020="","",investigadorsdonesprojecte2020))</f>
        <v/>
      </c>
      <c r="CO2" s="17" t="str">
        <f>IF(nomemp1="","",IF(investigadorsdonesprojecte2021="","",investigadorsdonesprojecte2021))</f>
        <v/>
      </c>
      <c r="CP2" s="17" t="str">
        <f>IF(nomemp1="","",IF(investigadorsdonesprojecte2022="","",investigadorsdonesprojecte2022))</f>
        <v/>
      </c>
      <c r="CQ2" s="17" t="str">
        <f>IF(nomemp1="","",IF(investigadorsdonesprojecte2023="","",investigadorsdonesprojecte2023))</f>
        <v/>
      </c>
      <c r="CR2" s="52" t="str">
        <f>IF(nomemp1="","",IF(empresesprivades2017="","",empresesprivades2017))</f>
        <v/>
      </c>
      <c r="CS2" s="18" t="str">
        <f>IF(nomemp1="","",IF(empresesprivades2018="","",empresesprivades2018))</f>
        <v/>
      </c>
      <c r="CT2" s="18" t="str">
        <f>IF(nomemp1="","",IF(empresesprivades2019="","",empresesprivades2019))</f>
        <v/>
      </c>
      <c r="CU2" s="18" t="str">
        <f>IF(nomemp1="","",IF(empresesprivades2020="","",empresesprivades2020))</f>
        <v/>
      </c>
      <c r="CV2" s="18" t="str">
        <f>IF(nomemp1="","",IF(empresesprivades2021="","",empresesprivades2021))</f>
        <v/>
      </c>
      <c r="CW2" s="18" t="str">
        <f>IF(nomemp1="","",IF(empresesprivades2022="","",empresesprivades2022))</f>
        <v/>
      </c>
      <c r="CX2" s="18" t="str">
        <f>IF(nomemp1="","",IF(empresesprivades2023="","",empresesprivades2023))</f>
        <v/>
      </c>
      <c r="CY2" t="str">
        <f>IF(nomemp1="","",IF(empresespubliques2017="","",empresespubliques2017))</f>
        <v/>
      </c>
      <c r="CZ2" s="17" t="str">
        <f>IF(nomemp1="","",IF(empresespubliques2018="","",empresespubliques2018))</f>
        <v/>
      </c>
      <c r="DA2" s="17" t="str">
        <f>IF(nomemp1="","",IF(empresespubliques2019="","",empresespubliques2019))</f>
        <v/>
      </c>
      <c r="DB2" s="17" t="str">
        <f>IF(nomemp1="","",IF(empresespubliques2020="","",empresespubliques2020))</f>
        <v/>
      </c>
      <c r="DC2" s="17" t="str">
        <f>IF(nomemp1="","",IF(empresespubliques2021="","",empresespubliques2021))</f>
        <v/>
      </c>
      <c r="DD2" s="17" t="str">
        <f>IF(nomemp1="","",IF(empresespubliques2022="","",empresespubliques2022))</f>
        <v/>
      </c>
      <c r="DE2" s="17" t="str">
        <f>IF(nomemp1="","",IF(empresespubliques2023="","",empresespubliques2023))</f>
        <v/>
      </c>
      <c r="DF2" s="50" t="str">
        <f>IF(nomemp1="","",IF(centrestecnologics2017="","",centrestecnologics2017))</f>
        <v/>
      </c>
      <c r="DG2" s="17" t="str">
        <f>IF(nomemp1="","",IF(centrestecnologics2018="","",centrestecnologics2018))</f>
        <v/>
      </c>
      <c r="DH2" s="17" t="str">
        <f>IF(nomemp1="","",IF(centrestecnologics2019="","",centrestecnologics2019))</f>
        <v/>
      </c>
      <c r="DI2" s="17" t="str">
        <f>IF(nomemp1="","",IF(centrestecnologics2020="","",centrestecnologics2020))</f>
        <v/>
      </c>
      <c r="DJ2" s="17" t="str">
        <f>IF(nomemp1="","",IF(centrestecnologics2021="","",centrestecnologics2021))</f>
        <v/>
      </c>
      <c r="DK2" s="17" t="str">
        <f>IF(nomemp1="","",IF(centrestecnologics2022="","",centrestecnologics2022))</f>
        <v/>
      </c>
      <c r="DL2" s="17" t="str">
        <f>IF(nomemp1="","",IF(centrestecnologics2023="","",centrestecnologics2023))</f>
        <v/>
      </c>
      <c r="DM2" s="52" t="str">
        <f>IF(nomemp1="","",IF(universitats2017="","",universitats2017))</f>
        <v/>
      </c>
      <c r="DN2" s="17" t="str">
        <f>IF(nomemp1="","",IF(universitats2018="","",universitats2018))</f>
        <v/>
      </c>
      <c r="DO2" s="17" t="str">
        <f>IF(nomemp1="","",IF(universitats2019="","",universitats2019))</f>
        <v/>
      </c>
      <c r="DP2" s="17" t="str">
        <f>IF(nomemp1="","",IF(universitats2020="","",universitats2020))</f>
        <v/>
      </c>
      <c r="DQ2" s="17" t="str">
        <f>IF(nomemp1="","",IF(universitats2021="","",universitats2021))</f>
        <v/>
      </c>
      <c r="DR2" s="17" t="str">
        <f>IF(nomemp1="","",IF(universitats2022="","",universitats2022))</f>
        <v/>
      </c>
      <c r="DS2" s="17" t="str">
        <f>IF(nomemp1="","",IF(universitats2023="","",universitats2023))</f>
        <v/>
      </c>
      <c r="DT2" s="54" t="str">
        <f>IF(nomemp1="","",IF(centresrecerca2017="","",centresrecerca2017))</f>
        <v/>
      </c>
      <c r="DU2" s="17" t="str">
        <f>IF(nomemp1="","",IF(centresrecerca2018="","",centresrecerca2018))</f>
        <v/>
      </c>
      <c r="DV2" s="17" t="str">
        <f>IF(nomemp1="","",IF(centresrecerca2019="","",centresrecerca2019))</f>
        <v/>
      </c>
      <c r="DW2" s="17" t="str">
        <f>IF(nomemp1="","",IF(centresrecerca2020="","",centresrecerca2020))</f>
        <v/>
      </c>
      <c r="DX2" s="17" t="str">
        <f>IF(nomemp1="","",IF(centresrecerca2021="","",centresrecerca2021))</f>
        <v/>
      </c>
      <c r="DY2" s="17" t="str">
        <f>IF(nomemp1="","",IF(centresrecerca2022="","",centresrecerca2022))</f>
        <v/>
      </c>
      <c r="DZ2" s="17" t="str">
        <f>IF(nomemp1="","",IF(centresrecerca2023="","",centresrecerca2023))</f>
        <v/>
      </c>
      <c r="EA2" s="50" t="str">
        <f>IF(nomemp1="","",IF(infraestructures2017="","",infraestructures2017))</f>
        <v/>
      </c>
      <c r="EB2" s="17" t="str">
        <f>IF(nomemp1="","",IF(infraestructures2018="","",infraestructures2018))</f>
        <v/>
      </c>
      <c r="EC2" s="17" t="str">
        <f>IF(nomemp1="","",IF(infraestructures2019="","",infraestructures2019))</f>
        <v/>
      </c>
      <c r="ED2" s="17" t="str">
        <f>IF(nomemp1="","",IF(infraestructures2020="","",infraestructures2020))</f>
        <v/>
      </c>
      <c r="EE2" s="17" t="str">
        <f>IF(nomemp1="","",IF(infraestructures2021="","",infraestructures2021))</f>
        <v/>
      </c>
      <c r="EF2" s="17" t="str">
        <f>IF(nomemp1="","",IF(infraestructures2022="","",infraestructures2022))</f>
        <v/>
      </c>
      <c r="EG2" s="17" t="str">
        <f>IF(nomemp1="","",IF(infraestructures2023="","",infraestructures2023))</f>
        <v/>
      </c>
      <c r="EH2" s="52" t="str">
        <f>IF(nomemp1="","",IF(spinoff2017="","",spinoff2017))</f>
        <v/>
      </c>
      <c r="EI2" s="17" t="str">
        <f>IF(nomemp1="","",IF(spinoff2018="","",spinoff2018))</f>
        <v/>
      </c>
      <c r="EJ2" s="17" t="str">
        <f>IF(nomemp1="","",IF(spinoff2019="","",spinoff2019))</f>
        <v/>
      </c>
      <c r="EK2" s="17" t="str">
        <f>IF(nomemp1="","",IF(spinoff2020="","",spinoff2020))</f>
        <v/>
      </c>
      <c r="EL2" s="17" t="str">
        <f>IF(nomemp1="","",IF(spinoff2021="","",spinoff2021))</f>
        <v/>
      </c>
      <c r="EM2" s="17" t="str">
        <f>IF(nomemp1="","",IF(spinoff2022="","",spinoff2022))</f>
        <v/>
      </c>
      <c r="EN2" s="17" t="str">
        <f>IF(nomemp1="","",IF(spinoff2023="","",spinoff2023))</f>
        <v/>
      </c>
      <c r="EO2" s="54" t="str">
        <f>IF(nomemp1="","",IF(patents2017="","",patents2017))</f>
        <v/>
      </c>
      <c r="EP2" s="17" t="str">
        <f>IF(nomemp1="","",IF(patents2018="","",patents2018))</f>
        <v/>
      </c>
      <c r="EQ2" s="17" t="str">
        <f>IF(nomemp1="","",IF(patents2019="","",patents2019))</f>
        <v/>
      </c>
      <c r="ER2" s="17" t="str">
        <f>IF(nomemp1="","",IF(patents2020="","",patents2020))</f>
        <v/>
      </c>
      <c r="ES2" s="17" t="str">
        <f>IF(nomemp1="","",IF(patents2021="","",patents2021))</f>
        <v/>
      </c>
      <c r="ET2" s="17" t="str">
        <f>IF(nomemp1="","",IF(patents2022="","",patents2022))</f>
        <v/>
      </c>
      <c r="EU2" s="17" t="str">
        <f>IF(nomemp1="","",IF(patents2023="","",patents2023))</f>
        <v/>
      </c>
      <c r="EV2" s="55" t="str">
        <f>IF(nomemp1="","",IF(marques2017="","",marques2017))</f>
        <v/>
      </c>
      <c r="EW2" s="17" t="str">
        <f>IF(nomemp1="","",IF(marques2018="","",marques2018))</f>
        <v/>
      </c>
      <c r="EX2" s="17" t="str">
        <f>IF(nomemp1="","",IF(marques2019="","",marques2019))</f>
        <v/>
      </c>
      <c r="EY2" s="17" t="str">
        <f>IF(nomemp1="","",IF(marques2020="","",marques2020))</f>
        <v/>
      </c>
      <c r="EZ2" s="17" t="str">
        <f>IF(nomemp1="","",IF(marques2021="","",marques2021))</f>
        <v/>
      </c>
      <c r="FA2" s="17" t="str">
        <f>IF(nomemp1="","",IF(marques2022="","",marques2022))</f>
        <v/>
      </c>
      <c r="FB2" s="17" t="str">
        <f>IF(nomemp1="","",IF(marques2023="","",marques2023))</f>
        <v/>
      </c>
      <c r="FC2" s="52" t="str">
        <f>IF(nomemp1="","",IF(innoven2017="","",innoven2017))</f>
        <v/>
      </c>
      <c r="FD2" s="17" t="str">
        <f>IF(nomemp1="","",IF(innoven2018="","",innoven2018))</f>
        <v/>
      </c>
      <c r="FE2" s="17" t="str">
        <f>IF(nomemp1="","",IF(innoven2019="","",innoven2019))</f>
        <v/>
      </c>
      <c r="FF2" s="17" t="str">
        <f>IF(nomemp1="","",IF(innoven2020="","",innoven2020))</f>
        <v/>
      </c>
      <c r="FG2" s="17" t="str">
        <f>IF(nomemp1="","",IF(innoven2021="","",innoven2021))</f>
        <v/>
      </c>
      <c r="FH2" s="17" t="str">
        <f>IF(nomemp1="","",IF(innoven2022="","",innoven2022))</f>
        <v/>
      </c>
      <c r="FI2" s="17" t="str">
        <f>IF(nomemp1="","",IF(innoven2023="","",innoven2023))</f>
        <v/>
      </c>
      <c r="FJ2" s="51" t="str">
        <f>IF(nomemp1="","",IF(llocsdetreball2017="","",llocsdetreball2017))</f>
        <v/>
      </c>
      <c r="FK2" s="17" t="str">
        <f>IF(nomemp1="","",IF(llocsdetreball2018="","",llocsdetreball2018))</f>
        <v/>
      </c>
      <c r="FL2" s="17" t="str">
        <f>IF(nomemp1="","",IF(llocsdetreball2019="","",llocsdetreball2019))</f>
        <v/>
      </c>
      <c r="FM2" s="17" t="str">
        <f>IF(nomemp1="","",IF(llocsdetreball2020="","",llocsdetreball2020))</f>
        <v/>
      </c>
      <c r="FN2" s="17" t="str">
        <f>IF(nomemp1="","",IF(llocsdetreball2021="","",llocsdetreball2021))</f>
        <v/>
      </c>
      <c r="FO2" s="17" t="str">
        <f>IF(nomemp1="","",IF(llocsdetreball2022="","",llocsdetreball2022))</f>
        <v/>
      </c>
      <c r="FP2" s="17" t="str">
        <f>IF(nomemp1="","",IF(llocsdetreball2023="","",llocsdetreball2023))</f>
        <v/>
      </c>
      <c r="FQ2" s="54" t="str">
        <f>IF(nomemp1="","",IF(formacio2017="","",formacio2017))</f>
        <v/>
      </c>
      <c r="FR2" s="17" t="str">
        <f>IF(nomemp1="","",IF(formacio2018="","",formacio2018))</f>
        <v/>
      </c>
      <c r="FS2" s="17" t="str">
        <f>IF(nomemp1="","",IF(formacio2019="","",formacio2019))</f>
        <v/>
      </c>
      <c r="FT2" s="17" t="str">
        <f>IF(nomemp1="","",IF(formacio2020="","",formacio2020))</f>
        <v/>
      </c>
      <c r="FU2" s="17" t="str">
        <f>IF(nomemp1="","",IF(formacio2021="","",formacio2021))</f>
        <v/>
      </c>
      <c r="FV2" s="17" t="str">
        <f>IF(nomemp1="","",IF(formacio2022="","",formacio2022))</f>
        <v/>
      </c>
      <c r="FW2" s="17" t="str">
        <f>IF(nomemp1="","",IF(formacio2023="","",formacio2023))</f>
        <v/>
      </c>
      <c r="FX2" s="51" t="str">
        <f>IF(nomemp1="","",IF(ingressos2017="","",ingressos2017))</f>
        <v/>
      </c>
      <c r="FY2" s="17" t="str">
        <f>IF(nomemp1="","",IF(ingressos2018="","",ingressos2018))</f>
        <v/>
      </c>
      <c r="FZ2" s="17" t="str">
        <f>IF(nomemp1="","",IF(ingressos2019="","",ingressos2019))</f>
        <v/>
      </c>
      <c r="GA2" s="17" t="str">
        <f>IF(nomemp1="","",IF(ingressos2020="","",ingressos2020))</f>
        <v/>
      </c>
      <c r="GB2" s="17" t="str">
        <f>IF(nomemp1="","",IF(ingressos2021="","",ingressos2021))</f>
        <v/>
      </c>
      <c r="GC2" s="17" t="str">
        <f>IF(nomemp1="","",IF(ingressos2022="","",ingressos2022))</f>
        <v/>
      </c>
      <c r="GD2" s="17" t="str">
        <f>IF(nomemp1="","",IF(ingressos2023="","",ingressos2023))</f>
        <v/>
      </c>
      <c r="GE2" t="str">
        <f>IF(nomemp1="","",IF(exportacions2017="","",exportacions2017))</f>
        <v/>
      </c>
      <c r="GF2" s="17" t="str">
        <f>IF(nomemp1="","",IF(exportacions2018="","",exportacions2018))</f>
        <v/>
      </c>
      <c r="GG2" s="17" t="str">
        <f>IF(nomemp1="","",IF(exportacions2019="","",exportacions2019))</f>
        <v/>
      </c>
      <c r="GH2" s="17" t="str">
        <f>IF(nomemp1="","",IF(exportacions2020="","",exportacions2020))</f>
        <v/>
      </c>
      <c r="GI2" s="17" t="str">
        <f>IF(nomemp1="","",IF(exportacions2021="","",exportacions2021))</f>
        <v/>
      </c>
      <c r="GJ2" s="17" t="str">
        <f>IF(nomemp1="","",IF(exportacions2022="","",exportacions2022))</f>
        <v/>
      </c>
      <c r="GK2" s="17" t="str">
        <f>IF(nomemp1="","",IF(exportacions2023="","",exportacions2023))</f>
        <v/>
      </c>
      <c r="GL2" t="str">
        <f>IF(nomemp1="","",IF(oportunitats2017="","",oportunitats2017))</f>
        <v/>
      </c>
      <c r="GM2" t="str">
        <f>IF(nomemp1="","",IF(oportunitats2018="","",oportunitats2018))</f>
        <v/>
      </c>
      <c r="GN2" t="str">
        <f>IF(nomemp1="","",IF(oportunitats2019="","",oportunitats2019))</f>
        <v/>
      </c>
      <c r="GO2" t="str">
        <f>IF(nomemp1="","",IF(oportunitats2020="","",oportunitats2020))</f>
        <v/>
      </c>
      <c r="GP2" t="str">
        <f>IF(nomemp1="","",IF(oportunitats2021="","",oportunitats2021))</f>
        <v/>
      </c>
      <c r="GQ2" s="17" t="str">
        <f>IF(nomemp1="","",IF(oportunitats2022="","",oportunitats2022))</f>
        <v/>
      </c>
      <c r="GR2" s="17" t="str">
        <f>IF(nomemp1="","",IF(oportunitats2023="","",oportunitats2023))</f>
        <v/>
      </c>
      <c r="GS2" s="17" t="str">
        <f>IF(nomemp1="","",IF(productivitat2017="","",productivitat2017))</f>
        <v/>
      </c>
      <c r="GT2" s="17" t="str">
        <f>IF(nomemp1="","",IF(productivitat2018="","",productivitat2018))</f>
        <v/>
      </c>
      <c r="GU2" s="17" t="str">
        <f>IF(nomemp1="","",IF(productivitat2019="","",productivitat2019))</f>
        <v/>
      </c>
      <c r="GV2" s="17" t="str">
        <f>IF(nomemp1="","",IF(productivitat2020="","",productivitat2020))</f>
        <v/>
      </c>
      <c r="GW2" s="17" t="str">
        <f>IF(nomemp1="","",IF(productivitat2021="","",productivitat2021))</f>
        <v/>
      </c>
      <c r="GX2" s="17" t="str">
        <f>IF(nomemp1="","",IF(productivitat2022="","",productivitat2022))</f>
        <v/>
      </c>
      <c r="GY2" s="17" t="str">
        <f>IF(nomemp1="","",IF(productivitat2023="","",productivitat2023))</f>
        <v/>
      </c>
      <c r="GZ2" t="str">
        <f>IF(nomemp1="","",IF(aigua2017="","",aigua2017))</f>
        <v/>
      </c>
      <c r="HA2" s="17" t="str">
        <f>IF(nomemp1="","",IF(aigua2018="","",aigua2018))</f>
        <v/>
      </c>
      <c r="HB2" s="17" t="str">
        <f>IF(nomemp1="","",IF(aigua2019="","",aigua2019))</f>
        <v/>
      </c>
      <c r="HC2" s="17" t="str">
        <f>IF(nomemp1="","",IF(aigua2020="","",aigua2020))</f>
        <v/>
      </c>
      <c r="HD2" s="17" t="str">
        <f>IF(nomemp1="","",IF(aigua2021="","",aigua2021))</f>
        <v/>
      </c>
      <c r="HE2" s="17" t="str">
        <f>IF(nomemp1="","",IF(aigua2022="","",aigua2022))</f>
        <v/>
      </c>
      <c r="HF2" s="17" t="str">
        <f>IF(nomemp1="","",IF(aigua2023="","",aigua2023))</f>
        <v/>
      </c>
      <c r="HG2" s="52" t="str">
        <f>IF(nomemp1="","",IF(energia2017="","",energia2017))</f>
        <v/>
      </c>
      <c r="HH2" s="17" t="str">
        <f>IF(nomemp1="","",IF(energia2018="","",energia2018))</f>
        <v/>
      </c>
      <c r="HI2" s="17" t="str">
        <f>IF(nomemp1="","",IF(energia2019="","",energia2019))</f>
        <v/>
      </c>
      <c r="HJ2" s="17" t="str">
        <f>IF(nomemp1="","",IF(energia2020="","",energia2020))</f>
        <v/>
      </c>
      <c r="HK2" s="17" t="str">
        <f>IF(nomemp1="","",IF(energia2021="","",energia2021))</f>
        <v/>
      </c>
      <c r="HL2" s="17" t="str">
        <f>IF(nomemp1="","",IF(energia2022="","",energia2022))</f>
        <v/>
      </c>
      <c r="HM2" s="17" t="str">
        <f>IF(nomemp1="","",IF(energia2023="","",energia2023))</f>
        <v/>
      </c>
      <c r="HN2" s="50" t="str">
        <f>IF(nomemp1="","",IF(emissions2017="","",emissions2017))</f>
        <v/>
      </c>
      <c r="HO2" s="17" t="str">
        <f>IF(nomemp1="","",IF(emissions2018="","",emissions2018))</f>
        <v/>
      </c>
      <c r="HP2" s="17" t="str">
        <f>IF(nomemp1="","",IF(emissions2019="","",emissions2019))</f>
        <v/>
      </c>
      <c r="HQ2" s="17" t="str">
        <f>IF(nomemp1="","",IF(emissions2020="","",emissions2020))</f>
        <v/>
      </c>
      <c r="HR2" s="17" t="str">
        <f>IF(nomemp1="","",IF(emissions2021="","",emissions2021))</f>
        <v/>
      </c>
      <c r="HS2" s="17" t="str">
        <f>IF(nomemp1="","",IF(emissions2022="","",emissions2022))</f>
        <v/>
      </c>
      <c r="HT2" s="17" t="str">
        <f>IF(nomemp1="","",IF(emissions2023="","",emissions2023))</f>
        <v/>
      </c>
      <c r="HU2" s="17" t="str">
        <f>IF(nomemp1="","",IF(residus2017="","",residus2017))</f>
        <v/>
      </c>
      <c r="HV2" s="17" t="str">
        <f>IF(nomemp1="","",IF(residus2018="","",residus2018))</f>
        <v/>
      </c>
      <c r="HW2" s="17" t="str">
        <f>IF(nomemp1="","",IF(residus2019="","",residus2019))</f>
        <v/>
      </c>
      <c r="HX2" s="17" t="str">
        <f>IF(nomemp1="","",IF(residus2020="","",residus2020))</f>
        <v/>
      </c>
      <c r="HY2" s="17" t="str">
        <f>IF(nomemp1="","",IF(residus2021="","",residus2021))</f>
        <v/>
      </c>
      <c r="HZ2" s="17" t="str">
        <f>IF(nomemp1="","",IF(residus2022="","",residus2022))</f>
        <v/>
      </c>
      <c r="IA2" s="17" t="str">
        <f>IF(nomemp1="","",IF(residus2023="","",residus2023))</f>
        <v/>
      </c>
      <c r="IB2" s="17"/>
      <c r="IC2" s="17"/>
      <c r="ID2" s="17"/>
      <c r="IE2" s="17"/>
    </row>
    <row r="3" spans="1:239" x14ac:dyDescent="0.25">
      <c r="A3" t="str">
        <f>IF(nomemp2="","",codiexp1)</f>
        <v/>
      </c>
      <c r="B3" t="str">
        <f>UPPER(IF(nomemp2=" ", " ",nomemp2))</f>
        <v/>
      </c>
      <c r="C3" t="str">
        <f>UPPER(IF(nif_2= " ", " ", nif_2))</f>
        <v/>
      </c>
      <c r="D3" t="str">
        <f>IF(nomemp2="", "",UPPER(IF(codiparticipant1="","",codiparticipant1)))</f>
        <v/>
      </c>
      <c r="E3" s="21" t="str">
        <f>IF(nomemp2="", "",IF(ajudes1_2017="", "",ajudes1_2017))</f>
        <v/>
      </c>
      <c r="F3" s="21" t="str">
        <f>IF(nomemp2="", "",IF(ajudes1_2018="", "",ajudes1_2018))</f>
        <v/>
      </c>
      <c r="G3" s="21" t="str">
        <f>IF(nomemp2="", "",IF(ajudes1_2019="", "",ajudes1_2019))</f>
        <v/>
      </c>
      <c r="H3" s="21" t="str">
        <f>IF(nomemp2="", "",IF(ajudes1_2020="", "",ajudes1_2020))</f>
        <v/>
      </c>
      <c r="I3" s="21" t="str">
        <f>IF(nomemp2="", "",IF(ajudes1_2021="", "",ajudes1_2021))</f>
        <v/>
      </c>
      <c r="J3" s="21" t="str">
        <f>IF(nomemp2="", "",IF(ajudes1_2022="", "",ajudes1_2022))</f>
        <v/>
      </c>
      <c r="K3" s="21" t="str">
        <f>IF(nomemp2="", "",IF(ajudes1_2023="", "",ajudes1_2023))</f>
        <v/>
      </c>
      <c r="L3" s="17" t="str">
        <f>IF(nomemp2= " ", " ", IF(subvencions1_2017="","",subvencions1_2017))</f>
        <v/>
      </c>
      <c r="M3" s="50" t="str">
        <f>IF(nomemp2= " ", " ", IF(subvencions1_2018="","",subvencions1_2018))</f>
        <v/>
      </c>
      <c r="N3" s="17" t="str">
        <f>IF(nomemp2= " ", " ", IF(subvencions1_2019="","",subvencions1_2019))</f>
        <v/>
      </c>
      <c r="O3" s="17" t="str">
        <f>IF(nomemp2= " ", " ", IF(subvencions1_2020="","",subvencions1_2020))</f>
        <v/>
      </c>
      <c r="P3" s="17" t="str">
        <f>IF(nomemp2= " ", " ", IF(subvencions1_2021="","",subvencions1_2021))</f>
        <v/>
      </c>
      <c r="Q3" s="17" t="str">
        <f>IF(nomemp2= " ", " ", IF(subvencions1_2022="","",subvencions1_2022))</f>
        <v/>
      </c>
      <c r="R3" s="17" t="str">
        <f>IF(nomemp2= " ", " ", IF(subvencions1_2023="","",subvencions1_2023))</f>
        <v/>
      </c>
      <c r="S3" s="17" t="str">
        <f>IF(nomemp2= " ", "",IF(iprivadaipublica1_2017="","",iprivadaipublica1_2017))</f>
        <v/>
      </c>
      <c r="T3" s="17" t="str">
        <f>IF(nomemp2= " ", "",IF(iprivadaipublica1_2018="","",iprivadaipublica1_2018))</f>
        <v/>
      </c>
      <c r="U3" s="17" t="str">
        <f>IF(nomemp2= " ", "",IF(iprivadaipublica1_2019="","",iprivadaipublica1_2019))</f>
        <v/>
      </c>
      <c r="V3" s="17" t="str">
        <f>IF(nomemp2= " ", "",IF(iprivadaipublica1_2020="","",iprivadaipublica1_2020))</f>
        <v/>
      </c>
      <c r="W3" s="17" t="str">
        <f>IF(nomemp2= " ", "",IF(iprivadaipublica1_2021="","",iprivadaipublica1_2021))</f>
        <v/>
      </c>
      <c r="X3" s="17" t="str">
        <f>IF(nomemp2= " ", "",IF(iprivadaipublica1_2022="","",iprivadaipublica1_2022))</f>
        <v/>
      </c>
      <c r="Y3" s="17" t="str">
        <f>IF(nomemp2= " ", "",IF(iprivadaipublica1_2023="","",iprivadaipublica1_2023))</f>
        <v/>
      </c>
      <c r="Z3" s="17" t="str">
        <f>IF(nomemp2="","",IF(copera1_2017="","",copera1_2017))</f>
        <v/>
      </c>
      <c r="AA3" s="17" t="str">
        <f>IF(nomemp2="","",IF(copera1_2018="","",copera1_2018))</f>
        <v/>
      </c>
      <c r="AB3" s="17" t="str">
        <f>IF(nomemp2="","",IF(copera1_2019="","",copera1_2019))</f>
        <v/>
      </c>
      <c r="AC3" s="17" t="str">
        <f>IF(nomemp2="","",IF(copera1_2020="","",copera1_2020))</f>
        <v/>
      </c>
      <c r="AD3" s="17" t="str">
        <f>IF(nomemp2="","",IF(copera1_2021="","",copera1_2021))</f>
        <v/>
      </c>
      <c r="AE3" s="17" t="str">
        <f>IF(nomemp2="","",IF(copera1_2022="","",copera1_2022))</f>
        <v/>
      </c>
      <c r="AF3" s="17" t="str">
        <f>IF(nomemp2="","",IF(copera1_2023="","",copera1_2023))</f>
        <v/>
      </c>
      <c r="AG3" s="17" t="str">
        <f>IF(nomemp2="","",IF(investigadorshomes1_2017="","",investigadorshomes1_2017))</f>
        <v/>
      </c>
      <c r="AH3" s="17" t="str">
        <f>IF(nomemp2="","",IF(investigadorshomes1_2018="","",investigadorshomes1_2018))</f>
        <v/>
      </c>
      <c r="AI3" s="17" t="str">
        <f>IF(nomemp2="","",IF(investigadorshomes1_2019="","",investigadorshomes1_2019))</f>
        <v/>
      </c>
      <c r="AJ3" s="17" t="str">
        <f>IF(nomemp2="","",IF(investigadorshomes1_2020="","",investigadorshomes1_2020))</f>
        <v/>
      </c>
      <c r="AK3" s="17" t="str">
        <f>IF(nomemp2="","",IF(investigadorshomes1_2021="","",investigadorshomes1_2021))</f>
        <v/>
      </c>
      <c r="AL3" s="17" t="str">
        <f>IF(nomemp2="","",IF(investigadorshomes1_2022="","",investigadorshomes1_2022))</f>
        <v/>
      </c>
      <c r="AM3" s="17" t="str">
        <f>IF(nomemp2="","",IF(investigadorshomes1_2023="","",investigadorshomes1_2023))</f>
        <v/>
      </c>
      <c r="AN3" s="17" t="str">
        <f>IF(nomemp2="","",IF(investigadorsdones1_2017= "","",investigadorsdones1_2017))</f>
        <v/>
      </c>
      <c r="AO3" s="17" t="str">
        <f>IF(nomemp2="","",IF(investigadorsdones1_2018= "","",investigadorsdones1_2018))</f>
        <v/>
      </c>
      <c r="AP3" s="17" t="str">
        <f>IF(nomemp2="","",IF(investigadorsdones1_2019= "","",investigadorsdones1_2019))</f>
        <v/>
      </c>
      <c r="AQ3" s="17" t="str">
        <f>IF(nomemp2="","",IF(investigadorsdones1_2020= "","",investigadorsdones1_2020))</f>
        <v/>
      </c>
      <c r="AR3" s="17" t="str">
        <f>IF(nomemp2="","",IF(investigadorsdones1_2021= "","",investigadorsdones1_2021))</f>
        <v/>
      </c>
      <c r="AS3" s="17" t="str">
        <f>IF(nomemp2="","",IF(investigadorsdones1_2022= "","",investigadorsdones1_2022))</f>
        <v/>
      </c>
      <c r="AT3" s="17" t="str">
        <f>IF(nomemp2="","",IF(investigadorsdones1_2023= "","",investigadorsdones1_2023))</f>
        <v/>
      </c>
      <c r="AU3" s="17" t="str">
        <f>IF(nomemp2=" ", " ",IF(investigadorstotal1_2017="","",investigadorstotal1_2017))</f>
        <v/>
      </c>
      <c r="AV3" s="17" t="str">
        <f>IF(nomemp2=" ", " ",IF(investigadorstotal1_2018="","",investigadorstotal1_2018))</f>
        <v/>
      </c>
      <c r="AW3" s="17" t="str">
        <f>IF(nomemp2=" ", " ",IF(investigadorstotal1_2019="","",investigadorstotal1_2019))</f>
        <v/>
      </c>
      <c r="AX3" s="17" t="str">
        <f>IF(nomemp2=" ", " ",IF(investigadorstotal1_2020="","",investigadorstotal1_2020))</f>
        <v/>
      </c>
      <c r="AY3" s="17" t="str">
        <f>IF(nomemp2=" ", " ",IF(investigadorstotal1_2021="","",investigadorstotal1_2021))</f>
        <v/>
      </c>
      <c r="AZ3" s="17" t="str">
        <f>IF(nomemp2=" ", " ",IF(investigadorstotal1_2022="","",investigadorstotal1_2022))</f>
        <v/>
      </c>
      <c r="BA3" s="17" t="str">
        <f>IF(nomemp2=" ", " ",IF(investigadorstotal1_2023="","",investigadorstotal1_2023))</f>
        <v/>
      </c>
      <c r="BB3" s="17" t="str">
        <f>IF(nomemp2=" ", " ",IF(certificacio1_2017="","",certificacio1_2017))</f>
        <v/>
      </c>
      <c r="BC3" s="17" t="str">
        <f>IF(nomemp2=" ", " ",IF(certificacio1_2018="","",certificacio1_2018))</f>
        <v/>
      </c>
      <c r="BD3" s="17" t="str">
        <f>IF(nomemp2=" "," ",IF(certificacio1_2019="","",certificacio1_2019))</f>
        <v/>
      </c>
      <c r="BE3" s="17" t="str">
        <f>IF(nomemp2=" ", " ",IF(certificacio1_2020="","",certificacio1_2020))</f>
        <v/>
      </c>
      <c r="BF3" s="17" t="str">
        <f>IF(nomemp2=" ", " ",IF(certificacio1_2021="","",certificacio1_2021))</f>
        <v/>
      </c>
      <c r="BG3" s="17" t="str">
        <f>IF(nomemp2=" ", " ",IF(certificacio1_2022="","",certificacio1_2022))</f>
        <v/>
      </c>
      <c r="BH3" s="17" t="str">
        <f>IF(nomemp2=" ", " ",IF(certificacio1_2023="","",certificacio1_2023))</f>
        <v/>
      </c>
      <c r="BI3" s="17" t="str">
        <f>IF(nomemp2="","",IF(ipublica1_2017="","",ipublica1_2017))</f>
        <v/>
      </c>
      <c r="BJ3" s="17" t="str">
        <f>IF(nomemp2="","",IF(ipublica1_2018="","",ipublica1_2018))</f>
        <v/>
      </c>
      <c r="BK3" s="17" t="str">
        <f>IF(nomemp2="","",IF(ipublica1_2019="","",ipublica1_2019))</f>
        <v/>
      </c>
      <c r="BL3" s="17" t="str">
        <f>IF(nomemp2="","",IF(ipublica1_2020="","",ipublica1_2020))</f>
        <v/>
      </c>
      <c r="BM3" s="17" t="str">
        <f>IF(nomemp2="","",IF(ipublica1_2021="","",ipublica1_2021))</f>
        <v/>
      </c>
      <c r="BN3" s="17" t="str">
        <f>IF(nomemp2="","",IF(ipublica1_2022="","",ipublica1_2022))</f>
        <v/>
      </c>
      <c r="BO3" s="17" t="str">
        <f>IF(nomemp2="","",IF(ipublica1_2023="","",ipublica1_2023))</f>
        <v/>
      </c>
      <c r="BP3" s="17" t="str">
        <f>IF(nomemp2="","",IF(iprivada1_2017="","",iprivada1_2017))</f>
        <v/>
      </c>
      <c r="BQ3" s="17" t="str">
        <f>IF(nomemp2="","",IF(iprivada1_2018="","",iprivada1_2018))</f>
        <v/>
      </c>
      <c r="BR3" s="17" t="str">
        <f>IF(nomemp2="","",IF(iprivada1_2019="","",iprivada1_2019))</f>
        <v/>
      </c>
      <c r="BS3" s="17" t="str">
        <f>IF(nomemp2="","",IF(iprivada1_2020="","",iprivada1_2020))</f>
        <v/>
      </c>
      <c r="BT3" s="17" t="str">
        <f>IF(nomemp2="","",IF(iprivada1_2021="","",iprivada1_2021))</f>
        <v/>
      </c>
      <c r="BU3" s="17" t="str">
        <f>IF(nomemp2="","",IF(iprivada1_2022="","",iprivada1_2022))</f>
        <v/>
      </c>
      <c r="BV3" s="17" t="str">
        <f>IF(nomemp2="","",IF(iprivada1_2023="","",iprivada1_2023))</f>
        <v/>
      </c>
      <c r="BW3" s="17" t="str">
        <f>IF(nomemp2="","",IF(investigadorstotalprojecte1_2017="","",investigadorstotalprojecte1_2017))</f>
        <v/>
      </c>
      <c r="BX3" s="17" t="str">
        <f>IF(nomemp2="","",IF(investigadorstotalprojecte1_2018="","",investigadorstotalprojecte1_2018))</f>
        <v/>
      </c>
      <c r="BY3" s="17" t="str">
        <f>IF(nomemp2="","",IF(investigadorstotalprojecte1_2019="","",investigadorstotalprojecte1_2019))</f>
        <v/>
      </c>
      <c r="BZ3" s="17" t="str">
        <f>IF(nomemp2="","",IF(investigadorstotalprojecte1_2020="","",investigadorstotalprojecte1_2020))</f>
        <v/>
      </c>
      <c r="CA3" s="17" t="str">
        <f>IF(nomemp2="","",IF(investigadorstotalprojecte1_2021="","",investigadorstotalprojecte1_2021))</f>
        <v/>
      </c>
      <c r="CB3" s="17" t="str">
        <f>IF(nomemp2="","",IF(investigadorstotalprojecte1_2022="","",investigadorstotalprojecte1_2022))</f>
        <v/>
      </c>
      <c r="CC3" s="17" t="str">
        <f>IF(nomemp2="","",IF(investigadorstotalprojecte1_2023="","",investigadorstotalprojecte1_2023))</f>
        <v/>
      </c>
      <c r="CD3" s="17" t="str">
        <f>IF(nomemp2="","",IF(investigadorshomesprojecte1_2017="","",investigadorshomesprojecte1_2017))</f>
        <v/>
      </c>
      <c r="CE3" s="17" t="str">
        <f>IF(nomemp2="","",IF(investigadorshomesprojecte1_2018="","",investigadorshomesprojecte1_2018))</f>
        <v/>
      </c>
      <c r="CF3" s="17" t="str">
        <f>IF(nomemp2="","",IF(investigadorshomesprojecte1_2019="","",investigadorshomesprojecte1_2019))</f>
        <v/>
      </c>
      <c r="CG3" s="17" t="str">
        <f>IF(nomemp2="","",IF(investigadorshomesprojecte1_2020="","",investigadorshomesprojecte1_2020))</f>
        <v/>
      </c>
      <c r="CH3" s="17" t="str">
        <f>IF(nomemp2="","",IF(investigadorshomesprojecte1_2021="","",investigadorshomesprojecte1_2021))</f>
        <v/>
      </c>
      <c r="CI3" s="17" t="str">
        <f>IF(nomemp2="","",IF(investigadorshomesprojecte1_2022="","",investigadorshomesprojecte1_2022))</f>
        <v/>
      </c>
      <c r="CJ3" s="17" t="str">
        <f>IF(nomemp2="","",IF(investigadorshomesprojecte1_2023="","",investigadorshomesprojecte1_2023))</f>
        <v/>
      </c>
      <c r="CK3" s="17" t="str">
        <f>IF(nomemp2="","",IF(investigadorsdonesprojecte1_2017="","",investigadorsdonesprojecte1_2017))</f>
        <v/>
      </c>
      <c r="CL3" s="17" t="str">
        <f>IF(nomemp2="","",IF(investigadorsdonesprojecte1_2018="","",investigadorsdonesprojecte1_2018))</f>
        <v/>
      </c>
      <c r="CM3" s="17" t="str">
        <f>IF(nomemp2="","",IF(investigadorsdonesprojecte1_2019="","",investigadorsdonesprojecte1_2019))</f>
        <v/>
      </c>
      <c r="CN3" s="17" t="str">
        <f>IF(nomemp2="","",IF(investigadorsdonesprojecte1_2020="","",investigadorsdonesprojecte1_2020))</f>
        <v/>
      </c>
      <c r="CO3" s="17" t="str">
        <f>IF(nomemp2="","",IF(investigadorsdonesprojecte1_2021="","",investigadorsdonesprojecte1_2021))</f>
        <v/>
      </c>
      <c r="CP3" s="17" t="str">
        <f>IF(nomemp2="","",IF(investigadorsdonesprojecte1_2022="","",investigadorsdonesprojecte1_2022))</f>
        <v/>
      </c>
      <c r="CQ3" s="17" t="str">
        <f>IF(nomemp2="","",IF(investigadorsdonesprojecte1_2023="","",investigadorsdonesprojecte1_2023))</f>
        <v/>
      </c>
      <c r="CR3" s="18" t="str">
        <f>IF(nomemp2="","",IF(empresesprivades1_2017="","",empresesprivades1_2017))</f>
        <v/>
      </c>
      <c r="CS3" s="18" t="str">
        <f>IF(nomemp2="","",IF(empresesprivades1_2018="","",empresesprivades1_2018))</f>
        <v/>
      </c>
      <c r="CT3" s="18" t="str">
        <f>IF(nomemp2="","",IF(empresesprivades1_2019="","",empresesprivades1_2019))</f>
        <v/>
      </c>
      <c r="CU3" s="18" t="str">
        <f>IF(nomemp2="","",IF(empresesprivades1_2020="","",empresesprivades1_2020))</f>
        <v/>
      </c>
      <c r="CV3" s="18" t="str">
        <f>IF(nomemp2="","",IF(empresesprivades1_2021="","",empresesprivades1_2021))</f>
        <v/>
      </c>
      <c r="CW3" s="18" t="str">
        <f>IF(nomemp2="","",IF(empresesprivades1_2022="","",empresesprivades1_2022))</f>
        <v/>
      </c>
      <c r="CX3" s="18" t="str">
        <f>IF(nomemp2="","",IF(empresesprivades1_2023="","",empresesprivades1_2023))</f>
        <v/>
      </c>
      <c r="CY3" s="18" t="str">
        <f>IF(nomemp2="","",IF(empresespubliques1_2017="","",empresespubliques1_2017))</f>
        <v/>
      </c>
      <c r="CZ3" s="18" t="str">
        <f>IF(nomemp2="","",IF(empresespubliques1_2018="","",empresespubliques1_2018))</f>
        <v/>
      </c>
      <c r="DA3" s="18" t="str">
        <f>IF(nomemp2="","",IF(empresespubliques1_2019="","",empresespubliques1_2019))</f>
        <v/>
      </c>
      <c r="DB3" s="18" t="str">
        <f>IF(nomemp2="","",IF(empresespubliques1_2020="","",empresespubliques1_2020))</f>
        <v/>
      </c>
      <c r="DC3" s="18" t="str">
        <f>IF(nomemp2="","",IF(empresespubliques1_2021="","",empresespubliques1_2021))</f>
        <v/>
      </c>
      <c r="DD3" s="18" t="str">
        <f>IF(nomemp2="","",IF(empresespubliques1_2022="","",empresespubliques1_2022))</f>
        <v/>
      </c>
      <c r="DE3" s="18" t="str">
        <f>IF(nomemp2="","",IF(empresespubliques1_2023="","",empresespubliques1_2023))</f>
        <v/>
      </c>
      <c r="DF3" s="18" t="str">
        <f>IF(nomemp2="","",IF(centrestecnologics1_2017="","",centrestecnologics1_2017))</f>
        <v/>
      </c>
      <c r="DG3" s="18" t="str">
        <f>IF(nomemp2="","",IF(centrestecnologics1_2018="","",centrestecnologics1_2018))</f>
        <v/>
      </c>
      <c r="DH3" s="18" t="str">
        <f>IF(nomemp2="","",IF(centrestecnologics1_2019="","",centrestecnologics1_2019))</f>
        <v/>
      </c>
      <c r="DI3" s="18" t="str">
        <f>IF(nomemp2="","",IF(centrestecnologics1_2020="","",centrestecnologics1_2020))</f>
        <v/>
      </c>
      <c r="DJ3" s="18" t="str">
        <f>IF(nomemp2="","",IF(centrestecnologics1_2021="","",centrestecnologics1_2021))</f>
        <v/>
      </c>
      <c r="DK3" s="18" t="str">
        <f>IF(nomemp2="","",IF(centrestecnologics1_2022="","",centrestecnologics1_2022))</f>
        <v/>
      </c>
      <c r="DL3" s="18" t="str">
        <f>IF(nomemp2="","",IF(centrestecnologics1_2023="","",centrestecnologics1_2023))</f>
        <v/>
      </c>
      <c r="DM3" s="18" t="str">
        <f>IF(nomemp2="","",IF(universitats1_2017="","",universitats1_2017))</f>
        <v/>
      </c>
      <c r="DN3" s="18" t="str">
        <f>IF(nomemp2="","",IF(universitats1_2018="","",universitats1_2018))</f>
        <v/>
      </c>
      <c r="DO3" s="18" t="str">
        <f>IF(nomemp2="","",IF(universitats1_2019="","",universitats1_2019))</f>
        <v/>
      </c>
      <c r="DP3" s="18" t="str">
        <f>IF(nomemp2="","",IF(universitats1_2020="","",universitats1_2020))</f>
        <v/>
      </c>
      <c r="DQ3" s="18" t="str">
        <f>IF(nomemp2="","",IF(universitats1_2021="","",universitats1_2021))</f>
        <v/>
      </c>
      <c r="DR3" s="18" t="str">
        <f>IF(nomemp2="","",IF(universitats1_2022="","",universitats1_2022))</f>
        <v/>
      </c>
      <c r="DS3" s="18" t="str">
        <f>IF(nomemp2="","",IF(universitats1_2023="","",universitats1_2023))</f>
        <v/>
      </c>
      <c r="DT3" s="18" t="str">
        <f>IF(nomemp2="","",IF(centresrecerca1_2017="","",centresrecerca1_2017))</f>
        <v/>
      </c>
      <c r="DU3" s="18" t="str">
        <f>IF(nomemp2="","",IF(centresrecerca1_2018="","",centresrecerca1_2018))</f>
        <v/>
      </c>
      <c r="DV3" s="18" t="str">
        <f>IF(nomemp2="","",IF(centresrecerca1_2019="","",centresrecerca1_2019))</f>
        <v/>
      </c>
      <c r="DW3" s="18" t="str">
        <f>IF(nomemp2="","",IF(centresrecerca1_2020="","",centresrecerca1_2020))</f>
        <v/>
      </c>
      <c r="DX3" s="18" t="str">
        <f>IF(nomemp2="","",IF(centresrecerca1_2021="","",centresrecerca1_2021))</f>
        <v/>
      </c>
      <c r="DY3" s="18" t="str">
        <f>IF(nomemp2="","",IF(centresrecerca1_2022="","",centresrecerca1_2022))</f>
        <v/>
      </c>
      <c r="DZ3" s="18" t="str">
        <f>IF(nomemp2="","",IF(centresrecerca1_2023="","",centresrecerca1_2023))</f>
        <v/>
      </c>
      <c r="EA3" s="18" t="str">
        <f>IF(nomemp2="","",IF(infraestructures1_2017="","",infraestructures1_2017))</f>
        <v/>
      </c>
      <c r="EB3" s="18" t="str">
        <f>IF(nomemp2="","",IF(infraestructures1_2018="","",infraestructures1_2018))</f>
        <v/>
      </c>
      <c r="EC3" s="18" t="str">
        <f>IF(nomemp2="","",IF(infraestructures1_2019="","",infraestructures1_2019))</f>
        <v/>
      </c>
      <c r="ED3" s="18" t="str">
        <f>IF(nomemp2="","",IF(infraestructures1_2020="","",infraestructures1_2020))</f>
        <v/>
      </c>
      <c r="EE3" s="18" t="str">
        <f>IF(nomemp2="","",IF(infraestructures1_2021="","",infraestructures1_2021))</f>
        <v/>
      </c>
      <c r="EF3" s="18" t="str">
        <f>IF(nomemp2="","",IF(infraestructures1_2022="","",infraestructures1_2022))</f>
        <v/>
      </c>
      <c r="EG3" s="18" t="str">
        <f>IF(nomemp2="","",IF(infraestructures1_2023="","",infraestructures1_2023))</f>
        <v/>
      </c>
      <c r="EH3" s="18" t="str">
        <f>IF(nomemp2="","",IF(spinoff1_2017="","",spinoff1_2017))</f>
        <v/>
      </c>
      <c r="EI3" s="18" t="str">
        <f>IF(nomemp2="","",IF(spinoff1_2018="","",spinoff1_2018))</f>
        <v/>
      </c>
      <c r="EJ3" s="18" t="str">
        <f>IF(nomemp2="","",IF(spinoff1_2019="","",spinoff1_2019))</f>
        <v/>
      </c>
      <c r="EK3" s="18" t="str">
        <f>IF(nomemp2="","",IF(spinoff1_2020="","",spinoff1_2020))</f>
        <v/>
      </c>
      <c r="EL3" s="18" t="str">
        <f>IF(nomemp2="","",IF(spinoff1_2021="","",spinoff1_2021))</f>
        <v/>
      </c>
      <c r="EM3" s="18" t="str">
        <f>IF(nomemp2="","",IF(spinoff1_2022="","",spinoff1_2022))</f>
        <v/>
      </c>
      <c r="EN3" s="18" t="str">
        <f>IF(nomemp2="","",IF(spinoff1_2023="","",spinoff1_2023))</f>
        <v/>
      </c>
      <c r="EO3" s="18" t="str">
        <f>IF(nomemp2="","",IF(patents1_2017="","",patents1_2017))</f>
        <v/>
      </c>
      <c r="EP3" s="18" t="str">
        <f>IF(nomemp2="","",IF(patents1_2018="","",patents1_2018))</f>
        <v/>
      </c>
      <c r="EQ3" s="18" t="str">
        <f>IF(nomemp2="","",IF(patents1_2019="","",patents1_2019))</f>
        <v/>
      </c>
      <c r="ER3" s="18" t="str">
        <f>IF(nomemp2="","",IF(patents1_2020="","",patents1_2020))</f>
        <v/>
      </c>
      <c r="ES3" s="18" t="str">
        <f>IF(nomemp2="","",IF(patents1_2021="","",patents1_2021))</f>
        <v/>
      </c>
      <c r="ET3" s="18" t="str">
        <f>IF(nomemp2="","",IF(patents1_2022="","",patents1_2022))</f>
        <v/>
      </c>
      <c r="EU3" s="18" t="str">
        <f>IF(nomemp2="","",IF(patents1_2023="","",patents1_2023))</f>
        <v/>
      </c>
      <c r="EV3" s="18" t="str">
        <f>IF(nomemp2="","",IF(marques1_2017="","",marques1_2017))</f>
        <v/>
      </c>
      <c r="EW3" s="18" t="str">
        <f>IF(nomemp2="","",IF(marques1_2018="","",marques1_2018))</f>
        <v/>
      </c>
      <c r="EX3" s="18" t="str">
        <f>IF(nomemp2="","",IF(marques1_2019="","",marques1_2019))</f>
        <v/>
      </c>
      <c r="EY3" s="18" t="str">
        <f>IF(nomemp2="","",IF(marques1_2020="","",marques1_2020))</f>
        <v/>
      </c>
      <c r="EZ3" s="18" t="str">
        <f>IF(nomemp2="","",IF(marques1_2021="","",marques1_2021))</f>
        <v/>
      </c>
      <c r="FA3" s="18" t="str">
        <f>IF(nomemp2="","",IF(marques1_2022="","",marques1_2022))</f>
        <v/>
      </c>
      <c r="FB3" s="18" t="str">
        <f>IF(nomemp2="","",IF(marques1_2023="","",marques1_2023))</f>
        <v/>
      </c>
      <c r="FC3" s="18" t="str">
        <f>IF(nomemp2="","",IF(innoven1_2017="","",innoven1_2017))</f>
        <v/>
      </c>
      <c r="FD3" s="18" t="str">
        <f>IF(nomemp2="","",IF(innoven1_2018="","",innoven1_2018))</f>
        <v/>
      </c>
      <c r="FE3" s="18" t="str">
        <f>IF(nomemp2="","",IF(innoven1_2019="","",innoven1_2019))</f>
        <v/>
      </c>
      <c r="FF3" s="18" t="str">
        <f>IF(nomemp2="","",IF(innoven1_2020="","",innoven1_2020))</f>
        <v/>
      </c>
      <c r="FG3" s="18" t="str">
        <f>IF(nomemp2="","",IF(innoven1_2021="","",innoven1_2021))</f>
        <v/>
      </c>
      <c r="FH3" s="18" t="str">
        <f>IF(nomemp2="","",IF(innoven1_2022="","",innoven1_2022))</f>
        <v/>
      </c>
      <c r="FI3" s="18" t="str">
        <f>IF(nomemp2="","",IF(innoven1_2023="","",innoven1_2023))</f>
        <v/>
      </c>
      <c r="FJ3" s="18" t="str">
        <f>IF(nomemp2="","",IF(llocsdetreball1_2017="","",llocsdetreball1_2017))</f>
        <v/>
      </c>
      <c r="FK3" s="18" t="str">
        <f>IF(nomemp2="","",IF(llocsdetreball1_2018="","",llocsdetreball1_2018))</f>
        <v/>
      </c>
      <c r="FL3" s="18" t="str">
        <f>IF(nomemp2="","",IF(llocsdetreball1_2019="","",llocsdetreball1_2019))</f>
        <v/>
      </c>
      <c r="FM3" s="18" t="str">
        <f>IF(nomemp2="","",IF(llocsdetreball1_2020="","",llocsdetreball1_2020))</f>
        <v/>
      </c>
      <c r="FN3" s="18" t="str">
        <f>IF(nomemp2="","",IF(llocsdetreball1_2021="","",llocsdetreball1_2021))</f>
        <v/>
      </c>
      <c r="FO3" s="18" t="str">
        <f>IF(nomemp2="","",IF(llocsdetreball1_2022="","",llocsdetreball1_2022))</f>
        <v/>
      </c>
      <c r="FP3" s="18" t="str">
        <f>IF(nomemp2="","",IF(llocsdetreball1_2023="","",llocsdetreball1_2023))</f>
        <v/>
      </c>
      <c r="FQ3" s="18" t="str">
        <f>IF(nomemp2="","",IF(formacio1_2017="","",formacio1_2017))</f>
        <v/>
      </c>
      <c r="FR3" s="18" t="str">
        <f>IF(nomemp2="","",IF(formacio1_2018="","",formacio1_2018))</f>
        <v/>
      </c>
      <c r="FS3" s="18" t="str">
        <f>IF(nomemp2="","",IF(formacio1_2019="","",formacio1_2019))</f>
        <v/>
      </c>
      <c r="FT3" s="18" t="str">
        <f>IF(nomemp2="","",IF(formacio1_2020="","",formacio1_2020))</f>
        <v/>
      </c>
      <c r="FU3" s="18" t="str">
        <f>IF(nomemp2="","",IF(formacio1_2021="","",formacio1_2021))</f>
        <v/>
      </c>
      <c r="FV3" s="18" t="str">
        <f>IF(nomemp2="","",IF(formacio1_2022="","",formacio1_2022))</f>
        <v/>
      </c>
      <c r="FW3" s="18" t="str">
        <f>IF(nomemp2="","",IF(formacio1_2023="","",formacio1_2023))</f>
        <v/>
      </c>
      <c r="FX3" s="18" t="str">
        <f>IF(nomemp2="","",IF(ingressos1_2017="","",ingressos1_2017))</f>
        <v/>
      </c>
      <c r="FY3" s="18" t="str">
        <f>IF(nomemp2="","",IF(ingressos1_2018="","",ingressos1_2018))</f>
        <v/>
      </c>
      <c r="FZ3" s="18" t="str">
        <f>IF(nomemp2="","",IF(ingressos1_2019="","",ingressos1_2019))</f>
        <v/>
      </c>
      <c r="GA3" s="18" t="str">
        <f>IF(nomemp2="","",IF(ingressos1_2020="","",ingressos1_2020))</f>
        <v/>
      </c>
      <c r="GB3" s="18" t="str">
        <f>IF(nomemp2="","",IF(ingressos1_2021="","",ingressos1_2021))</f>
        <v/>
      </c>
      <c r="GC3" s="18" t="str">
        <f>IF(nomemp2="","",IF(ingressos1_2022="","",ingressos1_2022))</f>
        <v/>
      </c>
      <c r="GD3" s="18" t="str">
        <f>IF(nomemp2="","",IF(ingressos1_2023="","",ingressos1_2023))</f>
        <v/>
      </c>
      <c r="GE3" s="18" t="str">
        <f>IF(nomemp2="","",IF(exportacions1_2017="","",exportacions1_2017))</f>
        <v/>
      </c>
      <c r="GF3" s="18" t="str">
        <f>IF(nomemp2="","",IF(exportacions1_2018="","",exportacions1_2018))</f>
        <v/>
      </c>
      <c r="GG3" s="18" t="str">
        <f>IF(nomemp2="","",IF(exportacions1_2019="","",exportacions1_2019))</f>
        <v/>
      </c>
      <c r="GH3" s="18" t="str">
        <f>IF(nomemp2="","",IF(exportacions1_2020="","",exportacions1_2020))</f>
        <v/>
      </c>
      <c r="GI3" s="18" t="str">
        <f>IF(nomemp2="","",IF(exportacions1_2021="","",exportacions1_2021))</f>
        <v/>
      </c>
      <c r="GJ3" s="18" t="str">
        <f>IF(nomemp2="","",IF(exportacions1_2022="","",exportacions1_2022))</f>
        <v/>
      </c>
      <c r="GK3" s="18" t="str">
        <f>IF(nomemp2="","",IF(exportacions1_2023="","",exportacions1_2023))</f>
        <v/>
      </c>
      <c r="GL3" t="str">
        <f>IF(nomemp2="","",IF(oportunitats1_2017="","",oportunitats1_2017))</f>
        <v/>
      </c>
      <c r="GM3" t="str">
        <f>IF(nomemp2="","",IF(oportunitats1_2018="","",oportunitats1_2018))</f>
        <v/>
      </c>
      <c r="GN3" t="str">
        <f>IF(nomemp2="","",IF(oportunitats1_2019="","",oportunitats1_2019))</f>
        <v/>
      </c>
      <c r="GO3" t="str">
        <f>IF(nomemp2="","",IF(oportunitats1_2020="","",oportunitats1_2020))</f>
        <v/>
      </c>
      <c r="GP3" t="str">
        <f>IF(nomemp2="","",IF(oportunitats1_2021="","",oportunitats1_2021))</f>
        <v/>
      </c>
      <c r="GQ3" s="18" t="str">
        <f>IF(nomemp2="","",IF(oportunitats1_2022="","",oportunitats1_2022))</f>
        <v/>
      </c>
      <c r="GR3" s="18" t="str">
        <f>IF(nomemp2="","",IF(oportunitats1_2023="","",oportunitats1_2023))</f>
        <v/>
      </c>
      <c r="GS3" s="18" t="str">
        <f>IF(nomemp2="","",IF(productivitat1_2017="","",productivitat1_2017))</f>
        <v/>
      </c>
      <c r="GT3" s="18" t="str">
        <f>IF(nomemp2="","",IF(productivitat1_2018="","",productivitat1_2018))</f>
        <v/>
      </c>
      <c r="GU3" s="18" t="str">
        <f>IF(nomemp2="","",IF(productivitat1_2019="","",productivitat1_2019))</f>
        <v/>
      </c>
      <c r="GV3" s="18" t="str">
        <f>IF(nomemp2="","",IF(productivitat1_2020="","",productivitat1_2020))</f>
        <v/>
      </c>
      <c r="GW3" s="18" t="str">
        <f>IF(nomemp2="","",IF(productivitat1_2021="","",productivitat1_2021))</f>
        <v/>
      </c>
      <c r="GX3" s="18" t="str">
        <f>IF(nomemp2="","",IF(productivitat1_2022="","",productivitat1_2022))</f>
        <v/>
      </c>
      <c r="GY3" s="18" t="str">
        <f>IF(nomemp2="","",IF(productivitat1_2023="","",productivitat1_2023))</f>
        <v/>
      </c>
      <c r="GZ3" s="18" t="str">
        <f>IF(nomemp2="","",IF(aigua1_2017="","",aigua1_2017))</f>
        <v/>
      </c>
      <c r="HA3" s="18" t="str">
        <f>IF(nomemp2="","",IF(aigua1_2018="","",aigua1_2018))</f>
        <v/>
      </c>
      <c r="HB3" s="18" t="str">
        <f>IF(nomemp2="","",IF(aigua1_2019="","",aigua1_2019))</f>
        <v/>
      </c>
      <c r="HC3" s="18" t="str">
        <f>IF(nomemp2="","",IF(aigua1_2020="","",aigua1_2020))</f>
        <v/>
      </c>
      <c r="HD3" s="18" t="str">
        <f>IF(nomemp2="","",IF(aigua1_2021="","",aigua1_2021))</f>
        <v/>
      </c>
      <c r="HE3" s="18" t="str">
        <f>IF(nomemp2="","",IF(aigua1_2022="","",aigua1_2022))</f>
        <v/>
      </c>
      <c r="HF3" s="18" t="str">
        <f>IF(nomemp2="","",IF(aigua1_2023="","",aigua1_2023))</f>
        <v/>
      </c>
      <c r="HG3" s="18" t="str">
        <f>IF(nomemp2="","",IF(energia1_2017="","",energia1_2017))</f>
        <v/>
      </c>
      <c r="HH3" s="18" t="str">
        <f>IF(nomemp2="","",IF(energia1_2018="","",energia1_2018))</f>
        <v/>
      </c>
      <c r="HI3" s="18" t="str">
        <f>IF(nomemp2="","",IF(energia1_2019="","",energia1_2019))</f>
        <v/>
      </c>
      <c r="HJ3" s="18" t="str">
        <f>IF(nomemp2="","",IF(energia1_2020="","",energia1_2020))</f>
        <v/>
      </c>
      <c r="HK3" s="18" t="str">
        <f>IF(nomemp2="","",IF(energia1_2021="","",energia1_2021))</f>
        <v/>
      </c>
      <c r="HL3" s="18" t="str">
        <f>IF(nomemp2="","",IF(energia1_2022="","",energia1_2022))</f>
        <v/>
      </c>
      <c r="HM3" s="18" t="str">
        <f>IF(nomemp2="","",IF(energia1_2023="","",energia1_2023))</f>
        <v/>
      </c>
      <c r="HN3" s="18" t="str">
        <f>IF(nomemp2="","",IF(emissions1_2017="","",emissions1_2017))</f>
        <v/>
      </c>
      <c r="HO3" s="18" t="str">
        <f>IF(nomemp2="","",IF(emissions1_2018="","",emissions1_2018))</f>
        <v/>
      </c>
      <c r="HP3" s="18" t="str">
        <f>IF(nomemp2="","",IF(emissions1_2019="","",emissions1_2019))</f>
        <v/>
      </c>
      <c r="HQ3" s="18" t="str">
        <f>IF(nomemp2="","",IF(emissions1_2020="","",emissions1_2020))</f>
        <v/>
      </c>
      <c r="HR3" s="18" t="str">
        <f>IF(nomemp2="","",IF(emissions1_2021="","",emissions1_2021))</f>
        <v/>
      </c>
      <c r="HS3" s="18" t="str">
        <f>IF(nomemp2="","",IF(emissions1_2022="","",emissions1_2022))</f>
        <v/>
      </c>
      <c r="HT3" s="18" t="str">
        <f>IF(nomemp2="","",IF(emissions1_2023="","",emissions1_2023))</f>
        <v/>
      </c>
      <c r="HU3" s="18" t="str">
        <f>IF(nomemp2="","",IF(residus1_2017="","",residus1_2017))</f>
        <v/>
      </c>
      <c r="HV3" s="18" t="str">
        <f>IF(nomemp2="","",IF(residus1_2018="","",residus1_2018))</f>
        <v/>
      </c>
      <c r="HW3" s="18" t="str">
        <f>IF(nomemp2="","",IF(residus1_2019="","",residus1_2019))</f>
        <v/>
      </c>
      <c r="HX3" s="18" t="str">
        <f>IF(nomemp2="","",IF(residus1_2020="","",residus1_2020))</f>
        <v/>
      </c>
      <c r="HY3" s="18" t="str">
        <f>IF(nomemp2="","",IF(residus1_2021="","",residus1_2021))</f>
        <v/>
      </c>
      <c r="HZ3" s="18" t="str">
        <f>IF(nomemp2="","",IF(residus1_2022="","",residus1_2022))</f>
        <v/>
      </c>
      <c r="IA3" s="18" t="str">
        <f>IF(nomemp2="","",IF(residus1_2023="","",residus1_2023))</f>
        <v/>
      </c>
      <c r="IB3" s="17"/>
      <c r="IC3" s="17"/>
      <c r="ID3" s="17"/>
      <c r="IE3" s="17"/>
    </row>
    <row r="4" spans="1:239" x14ac:dyDescent="0.25">
      <c r="A4" t="str">
        <f>IF(nomemp3="","",codiexp1)</f>
        <v/>
      </c>
      <c r="B4" t="str">
        <f>UPPER(IF(nomemp3=" ", " ",nomemp3))</f>
        <v/>
      </c>
      <c r="C4" t="str">
        <f>UPPER(IF(nif_3= " ", " ", nif_3))</f>
        <v/>
      </c>
      <c r="D4" t="str">
        <f>IF(nomemp3="", "",UPPER(IF(codiparticipant2="","",codiparticipant2)))</f>
        <v/>
      </c>
      <c r="E4" s="21" t="str">
        <f>IF(nomemp3="", "",IF(ajudes2_2017="", "",ajudes2_2017))</f>
        <v/>
      </c>
      <c r="F4" s="21" t="str">
        <f>IF(nomemp3="", "",IF(ajudes2_2018="", "",ajudes2_2018))</f>
        <v/>
      </c>
      <c r="G4" s="21" t="str">
        <f>IF(nomemp3="", "",IF(ajudes2_2019="", "",ajudes2_2019))</f>
        <v/>
      </c>
      <c r="H4" s="21" t="str">
        <f>IF(nomemp3="", "",IF(ajudes2_2020="", "",ajudes2_2020))</f>
        <v/>
      </c>
      <c r="I4" s="21" t="str">
        <f>IF(nomemp3="", "",IF(ajudes2_2021="", "",ajudes2_2021))</f>
        <v/>
      </c>
      <c r="J4" s="21" t="str">
        <f>IF(nomemp3= "", "",IF(ajudes2_2022="", "",ajudes2_2022))</f>
        <v/>
      </c>
      <c r="K4" s="21" t="str">
        <f>IF(nomemp3="",  "",IF(ajudes2_2023="", "",ajudes2_2023))</f>
        <v/>
      </c>
      <c r="L4" s="19" t="str">
        <f>IF(nomemp3= " ", " ", IF(subvencions2_2017="","",subvencions2_2017))</f>
        <v/>
      </c>
      <c r="M4" s="19" t="str">
        <f>IF(nomemp3= " ", " ", IF(subvencions2_2018="","",subvencions2_2018))</f>
        <v/>
      </c>
      <c r="N4" s="19" t="str">
        <f>IF(nomemp3= " ", " ", IF(subvencions2_2019="","",subvencions2_2019))</f>
        <v/>
      </c>
      <c r="O4" s="19" t="str">
        <f>IF(nomemp3= " ", " ", IF(subvencions2_2020="","",subvencions2_2020))</f>
        <v/>
      </c>
      <c r="P4" s="19" t="str">
        <f>IF(nomemp3= " ", " ", IF(subvencions2_2021="","",subvencions2_2021))</f>
        <v/>
      </c>
      <c r="Q4" s="19" t="str">
        <f>IF(nomemp3= " ", " ", IF(subvencions2_2022="","",subvencions2_2022))</f>
        <v/>
      </c>
      <c r="R4" s="19" t="str">
        <f>IF(nomemp3= " ", " ", IF(subvencions2_2023="","",subvencions2_2023))</f>
        <v/>
      </c>
      <c r="S4" s="19" t="str">
        <f>IF(nomemp3= " ", "",IF(iprivadaipublica2_2017="","",iprivadaipublica2_2017))</f>
        <v/>
      </c>
      <c r="T4" s="19" t="str">
        <f>IF(nomemp3= " ", "",IF(iprivadaipublica2_2018="","",iprivadaipublica2_2018))</f>
        <v/>
      </c>
      <c r="U4" s="19" t="str">
        <f>IF(nomemp3= " ", "",IF(iprivadaipublica2_2019="","",iprivadaipublica2_2019))</f>
        <v/>
      </c>
      <c r="V4" s="51" t="str">
        <f>IF(nomemp3= " ", "",IF(iprivadaipublica2_2020="","",iprivadaipublica2_2020))</f>
        <v/>
      </c>
      <c r="W4" s="19" t="str">
        <f>IF(nomemp3= " ", "",IF(iprivadaipublica2_2021="","",iprivadaipublica2_2021))</f>
        <v/>
      </c>
      <c r="X4" s="19" t="str">
        <f>IF(nomemp3= " ", "",IF(iprivadaipublica2_2022="","",iprivadaipublica2_2022))</f>
        <v/>
      </c>
      <c r="Y4" s="19" t="str">
        <f>IF(nomemp3= " ", "",IF(iprivadaipublica2_2023="","",iprivadaipublica2_2023))</f>
        <v/>
      </c>
      <c r="Z4" s="19" t="str">
        <f>IF(nomemp3="","",IF(copera2_2017="","",copera2_2017))</f>
        <v/>
      </c>
      <c r="AA4" s="19" t="str">
        <f>IF(nomemp3="","",IF(copera2_2018="","",copera2_2018))</f>
        <v/>
      </c>
      <c r="AB4" s="19" t="str">
        <f>IF(nomemp3="","",IF(copera2_2019="","",copera2_2019))</f>
        <v/>
      </c>
      <c r="AC4" s="19" t="str">
        <f>IF(nomemp3="","",IF(copera2_2020="","",copera2_2020))</f>
        <v/>
      </c>
      <c r="AD4" s="19" t="str">
        <f>IF(nomemp3="","",IF(copera2_2021="","",copera2_2021))</f>
        <v/>
      </c>
      <c r="AE4" s="19" t="str">
        <f>IF(nomemp3="","",IF(copera2_2022="","",copera2_2022))</f>
        <v/>
      </c>
      <c r="AF4" s="19" t="str">
        <f>IF(nomemp3="","",IF(copera2_2023="","",copera2_2023))</f>
        <v/>
      </c>
      <c r="AG4" s="19" t="str">
        <f>IF(nomemp3="","",IF(investigadorshomes2_2017="","",investigadorshomes2_2017))</f>
        <v/>
      </c>
      <c r="AH4" s="19" t="str">
        <f>IF(nomemp3="","",IF(investigadorshomes2_2018="","",investigadorshomes2_2018))</f>
        <v/>
      </c>
      <c r="AI4" s="19" t="str">
        <f>IF(nomemp3="","",IF(investigadorshomes2_2019="","",investigadorshomes2_2019))</f>
        <v/>
      </c>
      <c r="AJ4" s="19" t="str">
        <f>IF(nomemp3="","",IF(investigadorshomes2_2020="","",investigadorshomes2_2020))</f>
        <v/>
      </c>
      <c r="AK4" s="19" t="str">
        <f>IF(nomemp3="","",IF(investigadorshomes2_2021="","",investigadorshomes2_2021))</f>
        <v/>
      </c>
      <c r="AL4" s="19" t="str">
        <f>IF(nomemp3="","",IF(investigadorshomes2_2022="","",investigadorshomes2_2022))</f>
        <v/>
      </c>
      <c r="AM4" s="19" t="str">
        <f>IF(nomemp3="","",IF(investigadorshomes2_2023="","",investigadorshomes2_2023))</f>
        <v/>
      </c>
      <c r="AN4" s="19" t="str">
        <f>IF(nomemp3="","",IF(investigadorsdones2_2017= "","",investigadorsdones2_2017))</f>
        <v/>
      </c>
      <c r="AO4" s="19" t="str">
        <f>IF(nomemp3="","",IF(investigadorsdones2_2018= "","",investigadorsdones2_2018))</f>
        <v/>
      </c>
      <c r="AP4" s="19" t="str">
        <f>IF(nomemp3="","",IF(investigadorsdones2_2019= "","",investigadorsdones2_2019))</f>
        <v/>
      </c>
      <c r="AQ4" s="19" t="str">
        <f>IF(nomemp3="","",IF(investigadorsdones2_2020= "","",investigadorsdones2_2020))</f>
        <v/>
      </c>
      <c r="AR4" s="19" t="str">
        <f>IF(nomemp3="","",IF(investigadorsdones2_2021= "","",investigadorsdones2_2021))</f>
        <v/>
      </c>
      <c r="AS4" s="19" t="str">
        <f>IF(nomemp3="","",IF(investigadorsdones2_2022= "","",investigadorsdones2_2022))</f>
        <v/>
      </c>
      <c r="AT4" s="19" t="str">
        <f>IF(nomemp3="","",IF(investigadorsdones2_2023= "","",investigadorsdones2_2023))</f>
        <v/>
      </c>
      <c r="AU4" s="19" t="str">
        <f>IF(nomemp3=" ", " ",IF(investigadorstotal2_2017="","",investigadorstotal2_2017))</f>
        <v/>
      </c>
      <c r="AV4" s="19" t="str">
        <f>IF(nomemp3=" ", " ",IF(investigadorstotal2_2018="","",investigadorstotal2_2018))</f>
        <v/>
      </c>
      <c r="AW4" s="19" t="str">
        <f>IF(nomemp3=" ", " ",IF(investigadorstotal2_2019="","",investigadorstotal2_2019))</f>
        <v/>
      </c>
      <c r="AX4" s="19" t="str">
        <f>IF(nomemp3=" ", " ",IF(investigadorstotal2_2020="","",investigadorstotal2_2020))</f>
        <v/>
      </c>
      <c r="AY4" s="19" t="str">
        <f>IF(nomemp3=" ", " ",IF(investigadorstotal2_2021="","",investigadorstotal2_2021))</f>
        <v/>
      </c>
      <c r="AZ4" s="19" t="str">
        <f>IF(nomemp3=" ", " ",IF(investigadorstotal2_2022="","",investigadorstotal2_2022))</f>
        <v/>
      </c>
      <c r="BA4" s="19" t="str">
        <f>IF(nomemp3=" ", " ",IF(investigadorstotal2_2023="","",investigadorstotal2_2023))</f>
        <v/>
      </c>
      <c r="BB4" s="19" t="str">
        <f>IF(nomemp3=" ", " ",IF(certificacio2_2017="","",certificacio2_2017))</f>
        <v/>
      </c>
      <c r="BC4" s="19" t="str">
        <f>IF(nomemp3=" ", " ",IF(certificacio2_2018="","",certificacio2_2018))</f>
        <v/>
      </c>
      <c r="BD4" s="19" t="str">
        <f>IF(nomemp3=" "," ",IF(certificacio2_2019="","",certificacio2_2019))</f>
        <v/>
      </c>
      <c r="BE4" s="19" t="str">
        <f>IF(nomemp3=" ", " ",IF(certificacio2_2020="","",certificacio2_2020))</f>
        <v/>
      </c>
      <c r="BF4" s="19" t="str">
        <f>IF(nomemp3=" ", " ",IF(certificacio2_2021="","",certificacio2_2021))</f>
        <v/>
      </c>
      <c r="BG4" s="19" t="str">
        <f>IF(nomemp3=" ", " ",IF(certificacio2_2022="","",certificacio2_2022))</f>
        <v/>
      </c>
      <c r="BH4" s="19" t="str">
        <f>IF(nomemp3=" ", " ",IF(certificacio2_2023="","",certificacio2_2023))</f>
        <v/>
      </c>
      <c r="BI4" s="19" t="str">
        <f>IF(nomemp3="","",IF(ipublica2_2017="","",ipublica2_2017))</f>
        <v/>
      </c>
      <c r="BJ4" s="19" t="str">
        <f>IF(nomemp3="","",IF(ipublica2_2018="","",ipublica2_2018))</f>
        <v/>
      </c>
      <c r="BK4" s="19" t="str">
        <f>IF(nomemp3="","",IF(ipublica2_2019="","",ipublica2_2019))</f>
        <v/>
      </c>
      <c r="BL4" s="19" t="str">
        <f>IF(nomemp3="","",IF(ipublica2_2020="","",ipublica2_2020))</f>
        <v/>
      </c>
      <c r="BM4" s="19" t="str">
        <f>IF(nomemp3="","",IF(ipublica2_2021="","",ipublica2_2021))</f>
        <v/>
      </c>
      <c r="BN4" s="19" t="str">
        <f>IF(nomemp3="","",IF(ipublica2_2022="","",ipublica2_2022))</f>
        <v/>
      </c>
      <c r="BO4" s="19" t="str">
        <f>IF(nomemp3="","",IF(ipublica2_2023="","",ipublica2_2023))</f>
        <v/>
      </c>
      <c r="BP4" s="19" t="str">
        <f>IF(nomemp3="","",IF(iprivada2_2017="","",iprivada2_2017))</f>
        <v/>
      </c>
      <c r="BQ4" s="19" t="str">
        <f>IF(nomemp3="","",IF(iprivada2_2018="","",iprivada2_2018))</f>
        <v/>
      </c>
      <c r="BR4" s="19" t="str">
        <f>IF(nomemp3="","",IF(iprivada2_2019="","",iprivada2_2019))</f>
        <v/>
      </c>
      <c r="BS4" s="19" t="str">
        <f>IF(nomemp3="","",IF(iprivada2_2020="","",iprivada2_2020))</f>
        <v/>
      </c>
      <c r="BT4" s="19" t="str">
        <f>IF(nomemp3="","",IF(iprivada2_2021="","",iprivada2_2021))</f>
        <v/>
      </c>
      <c r="BU4" s="19" t="str">
        <f>IF(nomemp3="","",IF(iprivada2_2022="","",iprivada2_2022))</f>
        <v/>
      </c>
      <c r="BV4" s="19" t="str">
        <f>IF(nomemp3="","",IF(iprivada2_2023="","",iprivada2_2023))</f>
        <v/>
      </c>
      <c r="BW4" s="19" t="str">
        <f>IF(nomemp3="","",IF(investigadorstotalprojecte2_2017="","",investigadorstotalprojecte2_2017))</f>
        <v/>
      </c>
      <c r="BX4" s="19" t="str">
        <f>IF(nomemp3="","",IF(investigadorstotalprojecte2_2018="","",investigadorstotalprojecte2_2018))</f>
        <v/>
      </c>
      <c r="BY4" s="19" t="str">
        <f>IF(nomemp3="","",IF(investigadorstotalprojecte2_2019="","",investigadorstotalprojecte2_2019))</f>
        <v/>
      </c>
      <c r="BZ4" s="19" t="str">
        <f>IF(nomemp3="","",IF(investigadorstotalprojecte2_2020="","",investigadorstotalprojecte2_2020))</f>
        <v/>
      </c>
      <c r="CA4" s="19" t="str">
        <f>IF(nomemp3="","",IF(investigadorstotalprojecte2_2021="","",investigadorstotalprojecte2_2021))</f>
        <v/>
      </c>
      <c r="CB4" s="19" t="str">
        <f>IF(nomemp3="","",IF(investigadorstotalprojecte2_2022="","",investigadorstotalprojecte2_2022))</f>
        <v/>
      </c>
      <c r="CC4" s="19" t="str">
        <f>IF(nomemp3="","",IF(investigadorstotalprojecte2_2023="","",investigadorstotalprojecte2_2023))</f>
        <v/>
      </c>
      <c r="CD4" s="19" t="str">
        <f>IF(nomemp3="","",IF(investigadorshomesprojecte2_2017="","",investigadorshomesprojecte2_2017))</f>
        <v/>
      </c>
      <c r="CE4" s="19" t="str">
        <f>IF(nomemp3="","",IF(investigadorshomesprojecte2_2018="","",investigadorshomesprojecte2_2018))</f>
        <v/>
      </c>
      <c r="CF4" s="19" t="str">
        <f>IF(nomemp3="","",IF(investigadorshomesprojecte2_2019="","",investigadorshomesprojecte2_2019))</f>
        <v/>
      </c>
      <c r="CG4" s="19" t="str">
        <f>IF(nomemp3="","",IF(investigadorshomesprojecte2_2020="","",investigadorshomesprojecte2_2020))</f>
        <v/>
      </c>
      <c r="CH4" s="19" t="str">
        <f>IF(nomemp3="","",IF(investigadorshomesprojecte2_2021="","",investigadorshomesprojecte2_2021))</f>
        <v/>
      </c>
      <c r="CI4" s="19" t="str">
        <f>IF(nomemp3="","",IF(investigadorshomesprojecte2_2022="","",investigadorshomesprojecte2_2022))</f>
        <v/>
      </c>
      <c r="CJ4" s="19" t="str">
        <f>IF(nomemp3="","",IF(investigadorshomesprojecte2_2023="","",investigadorshomesprojecte2_2023))</f>
        <v/>
      </c>
      <c r="CK4" s="19" t="str">
        <f>IF(nomemp3="","",IF(investigadorsdonesprojecte2_2017="","",investigadorsdonesprojecte2_2017))</f>
        <v/>
      </c>
      <c r="CL4" s="19" t="str">
        <f>IF(nomemp3="","",IF(investigadorsdonesprojecte2_2018="","",investigadorsdonesprojecte2_2018))</f>
        <v/>
      </c>
      <c r="CM4" s="19" t="str">
        <f>IF(nomemp3="","",IF(investigadorsdonesprojecte2_2019="","",investigadorsdonesprojecte2_2019))</f>
        <v/>
      </c>
      <c r="CN4" s="19" t="str">
        <f>IF(nomemp3="","",IF(investigadorsdonesprojecte2_2020="","",investigadorsdonesprojecte2_2020))</f>
        <v/>
      </c>
      <c r="CO4" s="19" t="str">
        <f>IF(nomemp3="","",IF(investigadorsdonesprojecte2_2021="","",investigadorsdonesprojecte2_2021))</f>
        <v/>
      </c>
      <c r="CP4" s="19" t="str">
        <f>IF(nomemp3="","",IF(investigadorsdonesprojecte2_2022="","",investigadorsdonesprojecte2_2022))</f>
        <v/>
      </c>
      <c r="CQ4" s="19" t="str">
        <f>IF(nomemp3="","",IF(investigadorsdonesprojecte2_2023="","",investigadorsdonesprojecte2_2023))</f>
        <v/>
      </c>
      <c r="CR4" s="19" t="str">
        <f>IF(nomemp3="","",IF(empresesprivades2_2017="","",empresesprivades2_2017))</f>
        <v/>
      </c>
      <c r="CS4" s="19" t="str">
        <f>IF(nomemp3="","",IF(empresesprivades2_2018="","",empresesprivades2_2018))</f>
        <v/>
      </c>
      <c r="CT4" s="19" t="str">
        <f>IF(nomemp3="","",IF(empresesprivades2_2019="","",empresesprivades2_2019))</f>
        <v/>
      </c>
      <c r="CU4" s="19" t="str">
        <f>IF(nomemp3="","",IF(empresesprivades2_2020="","",empresesprivades2_2020))</f>
        <v/>
      </c>
      <c r="CV4" s="19" t="str">
        <f>IF(nomemp3="","",IF(empresesprivades2_2021="","",empresesprivades2_2021))</f>
        <v/>
      </c>
      <c r="CW4" s="19" t="str">
        <f>IF(nomemp3="","",IF(empresesprivades2_2022="","",empresesprivades2_2022))</f>
        <v/>
      </c>
      <c r="CX4" s="19" t="str">
        <f>IF(nomemp3="","",IF(empresesprivades2_2023="","",empresesprivades2_2023))</f>
        <v/>
      </c>
      <c r="CY4" s="19" t="str">
        <f>IF(nomemp3="","",IF(empresespubliques2_2017="","",empresespubliques2_2017))</f>
        <v/>
      </c>
      <c r="CZ4" s="19" t="str">
        <f>IF(nomemp3="","",IF(empresespubliques2_2018="","",empresespubliques2_2018))</f>
        <v/>
      </c>
      <c r="DA4" s="19" t="str">
        <f>IF(nomemp3="","",IF(empresespubliques2_2019="","",empresespubliques2_2019))</f>
        <v/>
      </c>
      <c r="DB4" s="19" t="str">
        <f>IF(nomemp3="","",IF(empresespubliques2_2020="","",empresespubliques2_2020))</f>
        <v/>
      </c>
      <c r="DC4" s="19" t="str">
        <f>IF(nomemp3="","",IF(empresespubliques2_2021="","",empresespubliques2_2021))</f>
        <v/>
      </c>
      <c r="DD4" s="19" t="str">
        <f>IF(nomemp3="","",IF(empresespubliques2_2022="","",empresespubliques2_2022))</f>
        <v/>
      </c>
      <c r="DE4" s="19" t="str">
        <f>IF(nomemp3="","",IF(empresespubliques2_2023="","",empresespubliques2_2023))</f>
        <v/>
      </c>
      <c r="DF4" s="19" t="str">
        <f>IF(nomemp3="","",IF(centrestecnologics2_2017="","",centrestecnologics2_2017))</f>
        <v/>
      </c>
      <c r="DG4" s="19" t="str">
        <f>IF(nomemp3="","",IF(centrestecnologics2_2018="","",centrestecnologics2_2018))</f>
        <v/>
      </c>
      <c r="DH4" s="19" t="str">
        <f>IF(nomemp3="","",IF(centrestecnologics2_2019="","",centrestecnologics2_2019))</f>
        <v/>
      </c>
      <c r="DI4" s="19" t="str">
        <f>IF(nomemp3="","",IF(centrestecnologics2_2020="","",centrestecnologics2_2020))</f>
        <v/>
      </c>
      <c r="DJ4" s="19" t="str">
        <f>IF(nomemp3="","",IF(centrestecnologics2_2021="","",centrestecnologics2_2021))</f>
        <v/>
      </c>
      <c r="DK4" s="19" t="str">
        <f>IF(nomemp3="","",IF(centrestecnologics2_2022="","",centrestecnologics2_2022))</f>
        <v/>
      </c>
      <c r="DL4" s="19" t="str">
        <f>IF(nomemp3="","",IF(centrestecnologics2_2023="","",centrestecnologics2_2023))</f>
        <v/>
      </c>
      <c r="DM4" s="19" t="str">
        <f>IF(nomemp3="","",IF(universitats2_2017="","",universitats2_2017))</f>
        <v/>
      </c>
      <c r="DN4" s="19" t="str">
        <f>IF(nomemp3="","",IF(universitats2_2018="","",universitats2_2018))</f>
        <v/>
      </c>
      <c r="DO4" s="19" t="str">
        <f>IF(nomemp3="","",IF(universitats2_2019="","",universitats2_2019))</f>
        <v/>
      </c>
      <c r="DP4" s="19" t="str">
        <f>IF(nomemp3="","",IF(universitats2_2020="","",universitats2_2020))</f>
        <v/>
      </c>
      <c r="DQ4" s="19" t="str">
        <f>IF(nomemp3="","",IF(universitats2_2021="","",universitats2_2021))</f>
        <v/>
      </c>
      <c r="DR4" s="19" t="str">
        <f>IF(nomemp3="","",IF(universitats2_2022="","",universitats2_2022))</f>
        <v/>
      </c>
      <c r="DS4" s="19" t="str">
        <f>IF(nomemp3="","",IF(universitats2_2023="","",universitats2_2023))</f>
        <v/>
      </c>
      <c r="DT4" s="19" t="str">
        <f>IF(nomemp3="","",IF(centresrecerca2_2017="","",centresrecerca2_2017))</f>
        <v/>
      </c>
      <c r="DU4" s="19" t="str">
        <f>IF(nomemp3="","",IF(centresrecerca2_2018="","",centresrecerca2_2018))</f>
        <v/>
      </c>
      <c r="DV4" s="19" t="str">
        <f>IF(nomemp3="","",IF(centresrecerca2_2019="","",centresrecerca2_2019))</f>
        <v/>
      </c>
      <c r="DW4" s="19" t="str">
        <f>IF(nomemp3="","",IF(centresrecerca2_2020="","",centresrecerca2_2020))</f>
        <v/>
      </c>
      <c r="DX4" s="19" t="str">
        <f>IF(nomemp3="","",IF(centresrecerca2_2021="","",centresrecerca2_2021))</f>
        <v/>
      </c>
      <c r="DY4" s="19" t="str">
        <f>IF(nomemp3="","",IF(centresrecerca2_2022="","",centresrecerca2_2022))</f>
        <v/>
      </c>
      <c r="DZ4" s="19" t="str">
        <f>IF(nomemp3="","",IF(centresrecerca2_2023="","",centresrecerca2_2023))</f>
        <v/>
      </c>
      <c r="EA4" s="19" t="str">
        <f>IF(nomemp3="","",IF(infraestructures2_2017="","",infraestructures2_2017))</f>
        <v/>
      </c>
      <c r="EB4" s="19" t="str">
        <f>IF(nomemp3="","",IF(infraestructures2_2018="","",infraestructures2_2018))</f>
        <v/>
      </c>
      <c r="EC4" s="19" t="str">
        <f>IF(nomemp3="","",IF(infraestructures2_2019="","",infraestructures2_2019))</f>
        <v/>
      </c>
      <c r="ED4" s="19" t="str">
        <f>IF(nomemp3="","",IF(infraestructures2_2020="","",infraestructures2_2020))</f>
        <v/>
      </c>
      <c r="EE4" s="19" t="str">
        <f>IF(nomemp3="","",IF(infraestructures2_2021="","",infraestructures2_2021))</f>
        <v/>
      </c>
      <c r="EF4" s="19" t="str">
        <f>IF(nomemp3="","",IF(infraestructures2_2022="","",infraestructures2_2022))</f>
        <v/>
      </c>
      <c r="EG4" s="19" t="str">
        <f>IF(nomemp3="","",IF(infraestructures2_2023="","",infraestructures2_2023))</f>
        <v/>
      </c>
      <c r="EH4" s="19" t="str">
        <f>IF(nomemp3="","",IF(spinoff2_2017="","",spinoff2_2017))</f>
        <v/>
      </c>
      <c r="EI4" s="19" t="str">
        <f>IF(nomemp3="","",IF(spinoff2_2018="","",spinoff2_2018))</f>
        <v/>
      </c>
      <c r="EJ4" s="19" t="str">
        <f>IF(nomemp3="","",IF(spinoff2_2019="","",spinoff2_2019))</f>
        <v/>
      </c>
      <c r="EK4" s="19" t="str">
        <f>IF(nomemp3="","",IF(spinoff2_2020="","",spinoff2_2020))</f>
        <v/>
      </c>
      <c r="EL4" s="19" t="str">
        <f>IF(nomemp3="","",IF(spinoff2_2021="","",spinoff2_2021))</f>
        <v/>
      </c>
      <c r="EM4" s="19" t="str">
        <f>IF(nomemp3="","",IF(spinoff2_2022="","",spinoff2_2022))</f>
        <v/>
      </c>
      <c r="EN4" s="19" t="str">
        <f>IF(nomemp3="","",IF(spinoff2_2023="","",spinoff2_2023))</f>
        <v/>
      </c>
      <c r="EO4" s="19" t="str">
        <f>IF(nomemp3="","",IF(patents2_2017="","",patents2_2017))</f>
        <v/>
      </c>
      <c r="EP4" s="19" t="str">
        <f>IF(nomemp3="","",IF(patents2_2018="","",patents2_2018))</f>
        <v/>
      </c>
      <c r="EQ4" s="19" t="str">
        <f>IF(nomemp3="","",IF(patents2_2019="","",patents2_2019))</f>
        <v/>
      </c>
      <c r="ER4" s="19" t="str">
        <f>IF(nomemp3="","",IF(patents2_2020="","",patents2_2020))</f>
        <v/>
      </c>
      <c r="ES4" s="19" t="str">
        <f>IF(nomemp3="","",IF(patents2_2021="","",patents2_2021))</f>
        <v/>
      </c>
      <c r="ET4" s="19" t="str">
        <f>IF(nomemp3="","",IF(patents2_2022="","",patents2_2022))</f>
        <v/>
      </c>
      <c r="EU4" s="19" t="str">
        <f>IF(nomemp3="","",IF(patents2_2023="","",patents2_2023))</f>
        <v/>
      </c>
      <c r="EV4" s="19" t="str">
        <f>IF(nomemp3="","",IF(marques2_2017="","",marques2_2017))</f>
        <v/>
      </c>
      <c r="EW4" s="19" t="str">
        <f>IF(nomemp3="","",IF(marques2_2018="","",marques2_2018))</f>
        <v/>
      </c>
      <c r="EX4" s="19" t="str">
        <f>IF(nomemp3="","",IF(marques2_2019="","",marques2_2019))</f>
        <v/>
      </c>
      <c r="EY4" s="19" t="str">
        <f>IF(nomemp3="","",IF(marques2_2020="","",marques2_2020))</f>
        <v/>
      </c>
      <c r="EZ4" s="19" t="str">
        <f>IF(nomemp3="","",IF(marques2_2021="","",marques2_2021))</f>
        <v/>
      </c>
      <c r="FA4" s="19" t="str">
        <f>IF(nomemp3="","",IF(marques2_2022="","",marques2_2022))</f>
        <v/>
      </c>
      <c r="FB4" s="19" t="str">
        <f>IF(nomemp3="","",IF(marques2_2023="","",marques2_2023))</f>
        <v/>
      </c>
      <c r="FC4" s="19" t="str">
        <f>IF(nomemp3="","",IF(innoven2_2017="","",innoven2_2017))</f>
        <v/>
      </c>
      <c r="FD4" s="19" t="str">
        <f>IF(nomemp3="","",IF(innoven2_2018="","",innoven2_2018))</f>
        <v/>
      </c>
      <c r="FE4" s="19" t="str">
        <f>IF(nomemp3="","",IF(innoven2_2019="","",innoven2_2019))</f>
        <v/>
      </c>
      <c r="FF4" s="19" t="str">
        <f>IF(nomemp3="","",IF(innoven2_2020="","",innoven2_2020))</f>
        <v/>
      </c>
      <c r="FG4" s="19" t="str">
        <f>IF(nomemp3="","",IF(innoven2_2021="","",innoven2_2021))</f>
        <v/>
      </c>
      <c r="FH4" s="19" t="str">
        <f>IF(nomemp3="","",IF(innoven2_2022="","",innoven2_2022))</f>
        <v/>
      </c>
      <c r="FI4" s="19" t="str">
        <f>IF(nomemp3="","",IF(innoven2_2023="","",innoven2_2023))</f>
        <v/>
      </c>
      <c r="FJ4" s="19" t="str">
        <f>IF(nomemp3="","",IF(llocsdetreball2_2017="","",llocsdetreball2_2017))</f>
        <v/>
      </c>
      <c r="FK4" s="19" t="str">
        <f>IF(nomemp3="","",IF(llocsdetreball2_2018="","",llocsdetreball2_2018))</f>
        <v/>
      </c>
      <c r="FL4" s="19" t="str">
        <f>IF(nomemp3="","",IF(llocsdetreball2_2019="","",llocsdetreball2_2019))</f>
        <v/>
      </c>
      <c r="FM4" s="19" t="str">
        <f>IF(nomemp3="","",IF(llocsdetreball2_2020="","",llocsdetreball2_2020))</f>
        <v/>
      </c>
      <c r="FN4" s="19" t="str">
        <f>IF(nomemp3="","",IF(llocsdetreball2_2021="","",llocsdetreball2_2021))</f>
        <v/>
      </c>
      <c r="FO4" s="19" t="str">
        <f>IF(nomemp3="","",IF(llocsdetreball2_2022="","",llocsdetreball2_2022))</f>
        <v/>
      </c>
      <c r="FP4" s="19" t="str">
        <f>IF(nomemp3="","",IF(llocsdetreball2_2023="","",llocsdetreball2_2023))</f>
        <v/>
      </c>
      <c r="FQ4" s="19" t="str">
        <f>IF(nomemp3="","",IF(formacio2_2017="","",formacio2_2017))</f>
        <v/>
      </c>
      <c r="FR4" s="19" t="str">
        <f>IF(nomemp3="","",IF(formacio2_2018="","",formacio2_2018))</f>
        <v/>
      </c>
      <c r="FS4" s="19" t="str">
        <f>IF(nomemp3="","",IF(formacio2_2019="","",formacio2_2019))</f>
        <v/>
      </c>
      <c r="FT4" s="19" t="str">
        <f>IF(nomemp3="","",IF(formacio2_2020="","",formacio2_2020))</f>
        <v/>
      </c>
      <c r="FU4" s="19" t="str">
        <f>IF(nomemp3="","",IF(formacio2_2021="","",formacio2_2021))</f>
        <v/>
      </c>
      <c r="FV4" s="19" t="str">
        <f>IF(nomemp3="","",IF(formacio2_2022="","",formacio2_2022))</f>
        <v/>
      </c>
      <c r="FW4" s="19" t="str">
        <f>IF(nomemp3="","",IF(formacio2_2023="","",formacio2_2023))</f>
        <v/>
      </c>
      <c r="FX4" s="19" t="str">
        <f>IF(nomemp3="","",IF(ingressos2_2017="","",ingressos2_2017))</f>
        <v/>
      </c>
      <c r="FY4" s="19" t="str">
        <f>IF(nomemp3="","",IF(ingressos2_2018="","",ingressos2_2018))</f>
        <v/>
      </c>
      <c r="FZ4" s="19" t="str">
        <f>IF(nomemp3="","",IF(ingressos2_2019="","",ingressos2_2019))</f>
        <v/>
      </c>
      <c r="GA4" s="19" t="str">
        <f>IF(nomemp3="","",IF(ingressos2_2020="","",ingressos2_2020))</f>
        <v/>
      </c>
      <c r="GB4" s="19" t="str">
        <f>IF(nomemp3="","",IF(ingressos2_2021="","",ingressos2_2021))</f>
        <v/>
      </c>
      <c r="GC4" s="19" t="str">
        <f>IF(nomemp3="","",IF(ingressos2_2022="","",ingressos2_2022))</f>
        <v/>
      </c>
      <c r="GD4" s="19" t="str">
        <f>IF(nomemp3="","",IF(ingressos2_2023="","",ingressos2_2023))</f>
        <v/>
      </c>
      <c r="GE4" s="19" t="str">
        <f>IF(nomemp3="","",IF(exportacions2_2017="","",exportacions2_2017))</f>
        <v/>
      </c>
      <c r="GF4" s="19" t="str">
        <f>IF(nomemp3="","",IF(exportacions2_2018="","",exportacions2_2018))</f>
        <v/>
      </c>
      <c r="GG4" s="19" t="str">
        <f>IF(nomemp3="","",IF(exportacions2_2019="","",exportacions2_2019))</f>
        <v/>
      </c>
      <c r="GH4" s="19" t="str">
        <f>IF(nomemp3="","",IF(exportacions2_2020="","",exportacions2_2020))</f>
        <v/>
      </c>
      <c r="GI4" s="19" t="str">
        <f>IF(nomemp3="","",IF(exportacions2_2021="","",exportacions2_2021))</f>
        <v/>
      </c>
      <c r="GJ4" s="19" t="str">
        <f>IF(nomemp3="","",IF(exportacions2_2022="","",exportacions2_2022))</f>
        <v/>
      </c>
      <c r="GK4" s="19" t="str">
        <f>IF(nomemp3="","",IF(exportacions2_2023="","",exportacions2_2023))</f>
        <v/>
      </c>
      <c r="GL4" t="str">
        <f>IF(nomemp3="","",IF(oportunitats2_2017="","",oportunitats2_2017))</f>
        <v/>
      </c>
      <c r="GM4" t="str">
        <f>IF(nomemp3="","",IF(oportunitats2_2018="","",oportunitats2_2018))</f>
        <v/>
      </c>
      <c r="GN4" t="str">
        <f>IF(nomemp3="","",IF(oportunitats2_2019="","",oportunitats2_2019))</f>
        <v/>
      </c>
      <c r="GO4" t="str">
        <f>IF(nomemp3="","",IF(oportunitats2_2020="","",oportunitats2_2020))</f>
        <v/>
      </c>
      <c r="GP4" t="str">
        <f>IF(nomemp3="","",IF(oportunitats2_2021="","",oportunitats2_2021))</f>
        <v/>
      </c>
      <c r="GQ4" s="19" t="str">
        <f>IF(nomemp3="","",IF(oportunitats2_2022="","",oportunitats2_2022))</f>
        <v/>
      </c>
      <c r="GR4" s="19" t="str">
        <f>IF(nomemp3="","",IF(oportunitats2_2023="","",oportunitats2_2023))</f>
        <v/>
      </c>
      <c r="GS4" s="19" t="str">
        <f>IF(nomemp3="","",IF(productivitat2_2017="","",productivitat2_2017))</f>
        <v/>
      </c>
      <c r="GT4" s="19" t="str">
        <f>IF(nomemp3="","",IF(productivitat2_2018="","",productivitat2_2018))</f>
        <v/>
      </c>
      <c r="GU4" s="19" t="str">
        <f>IF(nomemp3="","",IF(productivitat2_2019="","",productivitat2_2019))</f>
        <v/>
      </c>
      <c r="GV4" s="19" t="str">
        <f>IF(nomemp3="","",IF(productivitat2_2020="","",productivitat2_2020))</f>
        <v/>
      </c>
      <c r="GW4" s="19" t="str">
        <f>IF(nomemp3="","",IF(productivitat2_2021="","",productivitat2_2021))</f>
        <v/>
      </c>
      <c r="GX4" s="19" t="str">
        <f>IF(nomemp3="","",IF(productivitat2_2022="","",productivitat2_2022))</f>
        <v/>
      </c>
      <c r="GY4" s="19" t="str">
        <f>IF(nomemp3="","",IF(productivitat2_2023="","",productivitat2_2023))</f>
        <v/>
      </c>
      <c r="GZ4" s="19" t="str">
        <f>IF(nomemp3="","",IF(aigua2_2017="","",aigua2_2017))</f>
        <v/>
      </c>
      <c r="HA4" s="19" t="str">
        <f>IF(nomemp3="","",IF(aigua2_2018="","",aigua2_2018))</f>
        <v/>
      </c>
      <c r="HB4" s="19" t="str">
        <f>IF(nomemp3="","",IF(aigua2_2019="","",aigua2_2019))</f>
        <v/>
      </c>
      <c r="HC4" s="19" t="str">
        <f>IF(nomemp3="","",IF(aigua2_2020="","",aigua2_2020))</f>
        <v/>
      </c>
      <c r="HD4" s="19" t="str">
        <f>IF(nomemp3="","",IF(aigua2_2021="","",aigua2_2021))</f>
        <v/>
      </c>
      <c r="HE4" s="19" t="str">
        <f>IF(nomemp3="","",IF(aigua2_2022="","",aigua2_2022))</f>
        <v/>
      </c>
      <c r="HF4" s="19" t="str">
        <f>IF(nomemp3="","",IF(aigua2_2023="","",aigua2_2023))</f>
        <v/>
      </c>
      <c r="HG4" s="19" t="str">
        <f>IF(nomemp3="","",IF(energia2_2017="","",energia2_2017))</f>
        <v/>
      </c>
      <c r="HH4" s="19" t="str">
        <f>IF(nomemp3="","",IF(energia2_2018="","",energia2_2018))</f>
        <v/>
      </c>
      <c r="HI4" s="19" t="str">
        <f>IF(nomemp3="","",IF(energia2_2019="","",energia2_2019))</f>
        <v/>
      </c>
      <c r="HJ4" s="19" t="str">
        <f>IF(nomemp3="","",IF(energia2_2020="","",energia2_2020))</f>
        <v/>
      </c>
      <c r="HK4" s="19" t="str">
        <f>IF(nomemp3="","",IF(energia2_2021="","",energia2_2021))</f>
        <v/>
      </c>
      <c r="HL4" s="19" t="str">
        <f>IF(nomemp3="","",IF(energia2_2022="","",energia2_2022))</f>
        <v/>
      </c>
      <c r="HM4" s="19" t="str">
        <f>IF(nomemp3="","",IF(energia2_2023="","",energia2_2023))</f>
        <v/>
      </c>
      <c r="HN4" s="19" t="str">
        <f>IF(nomemp3="","",IF(emissions2_2017="","",emissions2_2017))</f>
        <v/>
      </c>
      <c r="HO4" s="19" t="str">
        <f>IF(nomemp3="","",IF(emissions2_2018="","",emissions2_2018))</f>
        <v/>
      </c>
      <c r="HP4" s="19" t="str">
        <f>IF(nomemp3="","",IF(emissions2_2019="","",emissions2_2019))</f>
        <v/>
      </c>
      <c r="HQ4" s="19" t="str">
        <f>IF(nomemp3="","",IF(emissions2_2020="","",emissions2_2020))</f>
        <v/>
      </c>
      <c r="HR4" s="19" t="str">
        <f>IF(nomemp3="","",IF(emissions2_2021="","",emissions2_2021))</f>
        <v/>
      </c>
      <c r="HS4" s="19" t="str">
        <f>IF(nomemp3="","",IF(emissions2_2022="","",emissions2_2022))</f>
        <v/>
      </c>
      <c r="HT4" s="19" t="str">
        <f>IF(nomemp3="","",IF(emissions2_2023="","",emissions2_2023))</f>
        <v/>
      </c>
      <c r="HU4" s="19" t="str">
        <f>IF(nomemp3="","",IF(residus2_2017="","",residus2_2017))</f>
        <v/>
      </c>
      <c r="HV4" s="19" t="str">
        <f>IF(nomemp3="","",IF(residus2_2018="","",residus2_2018))</f>
        <v/>
      </c>
      <c r="HW4" s="19" t="str">
        <f>IF(nomemp3="","",IF(residus2_2019="","",residus2_2019))</f>
        <v/>
      </c>
      <c r="HX4" s="19" t="str">
        <f>IF(nomemp3="","",IF(residus2_2020="","",residus2_2020))</f>
        <v/>
      </c>
      <c r="HY4" s="19" t="str">
        <f>IF(nomemp3="","",IF(residus2_2021="","",residus2_2021))</f>
        <v/>
      </c>
      <c r="HZ4" s="19" t="str">
        <f>IF(nomemp3="","",IF(residus2_2022="","",residus2_2022))</f>
        <v/>
      </c>
      <c r="IA4" s="19" t="str">
        <f>IF(nomemp3="","",IF(residus2_2023="","",residus2_2023))</f>
        <v/>
      </c>
      <c r="IB4" s="19"/>
      <c r="IC4" s="17"/>
      <c r="ID4" s="17"/>
      <c r="IE4" s="17"/>
    </row>
    <row r="5" spans="1:239" x14ac:dyDescent="0.25">
      <c r="A5" t="str">
        <f>IF(nomemp4="","",codiexp1)</f>
        <v/>
      </c>
      <c r="B5" t="str">
        <f>UPPER(IF(nomemp4=" ", " ",nomemp4))</f>
        <v/>
      </c>
      <c r="C5" t="str">
        <f>UPPER(IF(nif_4= " ", " ", nif_4))</f>
        <v/>
      </c>
      <c r="D5" t="str">
        <f>IF(nomemp4="", "",UPPER(IF(codiparticipant3="","",codiparticipant3)))</f>
        <v/>
      </c>
      <c r="E5" s="21" t="str">
        <f>IF(nomemp4="", "",IF(ajudes3_2017="", "",ajudes3_2017))</f>
        <v/>
      </c>
      <c r="F5" s="21" t="str">
        <f>IF(nomemp4="",  "",IF(ajudes3_2018="", "",ajudes3_2018))</f>
        <v/>
      </c>
      <c r="G5" s="21" t="str">
        <f>IF(nomemp4="", "",IF(ajudes3_2019="", "",ajudes3_2019))</f>
        <v/>
      </c>
      <c r="H5" s="21" t="str">
        <f>IF(nomemp4="", "",IF(ajudes3_2020="", "",ajudes3_2020))</f>
        <v/>
      </c>
      <c r="I5" s="21" t="str">
        <f>IF(nomemp4="", "",IF(ajudes3_2021="", "",ajudes3_2021))</f>
        <v/>
      </c>
      <c r="J5" s="21" t="str">
        <f>IF(nomemp4="", "",IF(ajudes3_2022="", "",ajudes3_2022))</f>
        <v/>
      </c>
      <c r="K5" s="21" t="str">
        <f>IF(nomemp4="", "",IF(ajudes3_2023="", "",ajudes3_2023))</f>
        <v/>
      </c>
      <c r="L5" s="19" t="str">
        <f>IF(nomemp4= " ", " ", IF(subvencions3_2017="","",subvencions3_2017))</f>
        <v/>
      </c>
      <c r="M5" s="19" t="str">
        <f>IF(nomemp4= " ", " ", IF(subvencions3_2018="","",subvencions3_2018))</f>
        <v/>
      </c>
      <c r="N5" s="19" t="str">
        <f>IF(nomemp4= " ", " ", IF(subvencions3_2019="","",subvencions3_2019))</f>
        <v/>
      </c>
      <c r="O5" s="19" t="str">
        <f>IF(nomemp4= " ", " ", IF(subvencions3_2020="","",subvencions3_2020))</f>
        <v/>
      </c>
      <c r="P5" s="19" t="str">
        <f>IF(nomemp4= " ", " ", IF(subvencions3_2021="","",subvencions3_2021))</f>
        <v/>
      </c>
      <c r="Q5" s="19" t="str">
        <f>IF(nomemp4= " ", " ", IF(subvencions3_2022="","",subvencions3_2022))</f>
        <v/>
      </c>
      <c r="R5" s="19" t="str">
        <f>IF(nomemp4= " ", " ", IF(subvencions3_2023="","",subvencions3_2023))</f>
        <v/>
      </c>
      <c r="S5" s="19" t="str">
        <f>IF(nomemp4= " ", "",IF(iprivadaipublica3_2017="","",iprivadaipublica3_2017))</f>
        <v/>
      </c>
      <c r="T5" s="19" t="str">
        <f>IF(nomemp4= " ", "",IF(iprivadaipublica3_2018="","",iprivadaipublica3_2018))</f>
        <v/>
      </c>
      <c r="U5" s="19" t="str">
        <f>IF(nomemp4= " ", "",IF(iprivadaipublica3_2019="","",iprivadaipublica3_2019))</f>
        <v/>
      </c>
      <c r="V5" s="19" t="str">
        <f>IF(nomemp4= " ", "",IF(iprivadaipublica3_2020="","",iprivadaipublica3_2020))</f>
        <v/>
      </c>
      <c r="W5" s="19" t="str">
        <f>IF(nomemp4= " ", "",IF(iprivadaipublica3_2021="","",iprivadaipublica3_2021))</f>
        <v/>
      </c>
      <c r="X5" s="19" t="str">
        <f>IF(nomemp4= " ", "",IF(iprivadaipublica3_2022="","",iprivadaipublica3_2022))</f>
        <v/>
      </c>
      <c r="Y5" s="19" t="str">
        <f>IF(nomemp4= " ", "",IF(iprivadaipublica3_2023="","",iprivadaipublica3_2023))</f>
        <v/>
      </c>
      <c r="Z5" s="19" t="str">
        <f>IF(nomemp4="","",IF(copera3_2017="","",copera3_2017))</f>
        <v/>
      </c>
      <c r="AA5" s="19" t="str">
        <f>IF(nomemp4="","",IF(copera3_2018="","",copera3_2018))</f>
        <v/>
      </c>
      <c r="AB5" s="19" t="str">
        <f>IF(nomemp4="","",IF(copera3_2019="","",copera3_2019))</f>
        <v/>
      </c>
      <c r="AC5" s="19" t="str">
        <f>IF(nomemp4="","",IF(copera3_2020="","",copera3_2020))</f>
        <v/>
      </c>
      <c r="AD5" s="19" t="str">
        <f>IF(nomemp4="","",IF(copera3_2021="","",copera3_2021))</f>
        <v/>
      </c>
      <c r="AE5" s="19" t="str">
        <f>IF(nomemp4="","",IF(copera3_2022="","",copera3_2022))</f>
        <v/>
      </c>
      <c r="AF5" s="19" t="str">
        <f>IF(nomemp4="","",IF(copera3_2023="","",copera3_2023))</f>
        <v/>
      </c>
      <c r="AG5" s="19" t="str">
        <f>IF(nomemp4="","",IF(investigadorshomes3_2017="","",investigadorshomes3_2017))</f>
        <v/>
      </c>
      <c r="AH5" s="19" t="str">
        <f>IF(nomemp4="","",IF(investigadorshomes3_2018="","",investigadorshomes3_2018))</f>
        <v/>
      </c>
      <c r="AI5" s="19" t="str">
        <f>IF(nomemp4="","",IF(investigadorshomes3_2019="","",investigadorshomes3_2019))</f>
        <v/>
      </c>
      <c r="AJ5" s="19" t="str">
        <f>IF(nomemp4="","",IF(investigadorshomes3_2020="","",investigadorshomes3_2020))</f>
        <v/>
      </c>
      <c r="AK5" s="19" t="str">
        <f>IF(nomemp4="","",IF(investigadorshomes3_2021="","",investigadorshomes3_2021))</f>
        <v/>
      </c>
      <c r="AL5" s="19" t="str">
        <f>IF(nomemp4="","",IF(investigadorshomes3_2022="","",investigadorshomes3_2022))</f>
        <v/>
      </c>
      <c r="AM5" s="19" t="str">
        <f>IF(nomemp4="","",IF(investigadorshomes3_2023="","",investigadorshomes3_2023))</f>
        <v/>
      </c>
      <c r="AN5" s="19" t="str">
        <f>IF(nomemp4="","",IF(investigadorsdones3_2017= "","",investigadorsdones3_2017))</f>
        <v/>
      </c>
      <c r="AO5" s="19" t="str">
        <f>IF(nomemp4="","",IF(investigadorsdones3_2018= "","",investigadorsdones3_2018))</f>
        <v/>
      </c>
      <c r="AP5" s="19" t="str">
        <f>IF(nomemp4="","",IF(investigadorsdones3_2019= "","",investigadorsdones3_2019))</f>
        <v/>
      </c>
      <c r="AQ5" s="19" t="str">
        <f>IF(nomemp4="","",IF(investigadorsdones3_2020= "","",investigadorsdones3_2020))</f>
        <v/>
      </c>
      <c r="AR5" s="19" t="str">
        <f>IF(nomemp4="","",IF(investigadorsdones3_2021= "","",investigadorsdones3_2021))</f>
        <v/>
      </c>
      <c r="AS5" s="19" t="str">
        <f>IF(nomemp4="","",IF(investigadorsdones3_2022= "","",investigadorsdones3_2022))</f>
        <v/>
      </c>
      <c r="AT5" s="19" t="str">
        <f>IF(nomemp4="","",IF(investigadorsdones3_2023= "","",investigadorsdones3_2023))</f>
        <v/>
      </c>
      <c r="AU5" s="19" t="str">
        <f>IF(nomemp4=" ", " ",IF(investigadorstotal3_2017="","",investigadorstotal3_2017))</f>
        <v/>
      </c>
      <c r="AV5" s="19" t="str">
        <f>IF(nomemp4=" ", " ",IF(investigadorstotal3_2018="","",investigadorstotal3_2018))</f>
        <v/>
      </c>
      <c r="AW5" s="19" t="str">
        <f>IF(nomemp4=" ", " ",IF(investigadorstotal3_2019="","",investigadorstotal3_2019))</f>
        <v/>
      </c>
      <c r="AX5" s="19" t="str">
        <f>IF(nomemp4=" ", " ",IF(investigadorstotal3_2020="","",investigadorstotal3_2020))</f>
        <v/>
      </c>
      <c r="AY5" s="19" t="str">
        <f>IF(nomemp4=" ", " ",IF(investigadorstotal3_2021="","",investigadorstotal3_2021))</f>
        <v/>
      </c>
      <c r="AZ5" s="19" t="str">
        <f>IF(nomemp4=" ", " ",IF(investigadorstotal3_2022="","",investigadorstotal3_2022))</f>
        <v/>
      </c>
      <c r="BA5" s="19" t="str">
        <f>IF(nomemp4=" ", " ",IF(investigadorstotal3_2023="","",investigadorstotal3_2023))</f>
        <v/>
      </c>
      <c r="BB5" s="19" t="str">
        <f>IF(nomemp4=" ", " ",IF(certificacio3_2017="","",certificacio3_2017))</f>
        <v/>
      </c>
      <c r="BC5" s="19" t="str">
        <f>IF(nomemp4=" ", " ",IF(certificacio3_2018="","",certificacio3_2018))</f>
        <v/>
      </c>
      <c r="BD5" s="19" t="str">
        <f>IF(nomemp4=" "," ",IF(certificacio3_2019="","",certificacio3_2019))</f>
        <v/>
      </c>
      <c r="BE5" s="19" t="str">
        <f>IF(nomemp4=" ", " ",IF(certificacio3_2020="","",certificacio3_2020))</f>
        <v/>
      </c>
      <c r="BF5" s="19" t="str">
        <f>IF(nomemp4=" ", " ",IF(certificacio3_2021="","",certificacio3_2021))</f>
        <v/>
      </c>
      <c r="BG5" s="19" t="str">
        <f>IF(nomemp4=" ", " ",IF(certificacio3_2022="","",certificacio3_2022))</f>
        <v/>
      </c>
      <c r="BH5" s="19" t="str">
        <f>IF(nomemp4=" ", " ",IF(certificacio3_2023="","",certificacio3_2023))</f>
        <v/>
      </c>
      <c r="BI5" s="19" t="str">
        <f>IF(nomemp4="","",IF(ipublica3_2017="","",ipublica3_2017))</f>
        <v/>
      </c>
      <c r="BJ5" s="19" t="str">
        <f>IF(nomemp4="","",IF(ipublica3_2018="","",ipublica3_2018))</f>
        <v/>
      </c>
      <c r="BK5" s="19" t="str">
        <f>IF(nomemp4="","",IF(ipublica3_2019="","",ipublica3_2019))</f>
        <v/>
      </c>
      <c r="BL5" s="19" t="str">
        <f>IF(nomemp4="","",IF(ipublica3_2020="","",ipublica3_2020))</f>
        <v/>
      </c>
      <c r="BM5" s="19" t="str">
        <f>IF(nomemp4="","",IF(ipublica3_2021="","",ipublica3_2021))</f>
        <v/>
      </c>
      <c r="BN5" s="19" t="str">
        <f>IF(nomemp1="","",IF(ipublica3_2022="","",ipublica3_2022))</f>
        <v/>
      </c>
      <c r="BO5" s="19" t="str">
        <f>IF(nomemp4="","",IF(ipublica3_2023="","",ipublica3_2023))</f>
        <v/>
      </c>
      <c r="BP5" s="19" t="str">
        <f>IF(nomemp4="","",IF(iprivada3_2017="","",iprivada3_2017))</f>
        <v/>
      </c>
      <c r="BQ5" s="19" t="str">
        <f>IF(nomemp4="","",IF(iprivada3_2018="","",iprivada3_2018))</f>
        <v/>
      </c>
      <c r="BR5" s="19" t="str">
        <f>IF(nomemp4="","",IF(iprivada3_2019="","",iprivada3_2019))</f>
        <v/>
      </c>
      <c r="BS5" s="19" t="str">
        <f>IF(nomemp4="","",IF(iprivada3_2020="","",iprivada3_2020))</f>
        <v/>
      </c>
      <c r="BT5" s="19" t="str">
        <f>IF(nomemp4="","",IF(iprivada3_2021="","",iprivada3_2021))</f>
        <v/>
      </c>
      <c r="BU5" s="19" t="str">
        <f>IF(nomemp4="","",IF(iprivada3_2022="","",iprivada3_2022))</f>
        <v/>
      </c>
      <c r="BV5" s="19" t="str">
        <f>IF(nomemp4="","",IF(iprivada3_2023="","",iprivada3_2023))</f>
        <v/>
      </c>
      <c r="BW5" s="19" t="str">
        <f>IF(nomemp4="","",IF(investigadorstotalprojecte3_2017="","",investigadorstotalprojecte3_2017))</f>
        <v/>
      </c>
      <c r="BX5" s="19" t="str">
        <f>IF(nomemp4="","",IF(investigadorstotalprojecte3_2018="","",investigadorstotalprojecte3_2018))</f>
        <v/>
      </c>
      <c r="BY5" s="19" t="str">
        <f>IF(nomemp4="","",IF(investigadorstotalprojecte3_2019="","",investigadorstotalprojecte3_2019))</f>
        <v/>
      </c>
      <c r="BZ5" s="19" t="str">
        <f>IF(nomemp4="","",IF(investigadorstotalprojecte3_2020="","",investigadorstotalprojecte3_2020))</f>
        <v/>
      </c>
      <c r="CA5" s="19" t="str">
        <f>IF(nomemp4="","",IF(investigadorstotalprojecte3_2021="","",investigadorstotalprojecte3_2021))</f>
        <v/>
      </c>
      <c r="CB5" s="19" t="str">
        <f>IF(nomemp4="","",IF(investigadorstotalprojecte3_2022="","",investigadorstotalprojecte3_2022))</f>
        <v/>
      </c>
      <c r="CC5" s="19" t="str">
        <f>IF(nomemp4="","",IF(investigadorstotalprojecte3_2023="","",investigadorstotalprojecte3_2023))</f>
        <v/>
      </c>
      <c r="CD5" s="19" t="str">
        <f>IF(nomemp4="","",IF(investigadorshomesprojecte3_2017="","",investigadorshomesprojecte3_2017))</f>
        <v/>
      </c>
      <c r="CE5" s="19" t="str">
        <f>IF(nomemp4="","",IF(investigadorshomesprojecte3_2018="","",investigadorshomesprojecte3_2018))</f>
        <v/>
      </c>
      <c r="CF5" s="19" t="str">
        <f>IF(nomemp4="","",IF(investigadorshomesprojecte3_2019="","",investigadorshomesprojecte3_2019))</f>
        <v/>
      </c>
      <c r="CG5" s="19" t="str">
        <f>IF(nomemp4="","",IF(investigadorshomesprojecte3_2020="","",investigadorshomesprojecte3_2020))</f>
        <v/>
      </c>
      <c r="CH5" s="19" t="str">
        <f>IF(nomemp4="","",IF(investigadorshomesprojecte3_2021="","",investigadorshomesprojecte3_2021))</f>
        <v/>
      </c>
      <c r="CI5" s="19" t="str">
        <f>IF(nomemp4="","",IF(investigadorshomesprojecte3_2022="","",investigadorshomesprojecte3_2022))</f>
        <v/>
      </c>
      <c r="CJ5" s="19" t="str">
        <f>IF(nomemp4="","",IF(investigadorshomesprojecte3_2023="","",investigadorshomesprojecte3_2023))</f>
        <v/>
      </c>
      <c r="CK5" s="19" t="str">
        <f>IF(nomemp4="","",IF(investigadorsdonesprojecte3_2017="","",investigadorsdonesprojecte3_2017))</f>
        <v/>
      </c>
      <c r="CL5" s="19" t="str">
        <f>IF(nomemp4="","",IF(investigadorsdonesprojecte3_2018="","",investigadorsdonesprojecte3_2018))</f>
        <v/>
      </c>
      <c r="CM5" s="19" t="str">
        <f>IF(nomemp4="","",IF(investigadorsdonesprojecte3_2019="","",investigadorsdonesprojecte3_2019))</f>
        <v/>
      </c>
      <c r="CN5" s="19" t="str">
        <f>IF(nomemp4="","",IF(investigadorsdonesprojecte3_2020="","",investigadorsdonesprojecte3_2020))</f>
        <v/>
      </c>
      <c r="CO5" s="19" t="str">
        <f>IF(nomemp4="","",IF(investigadorsdonesprojecte3_2021="","",investigadorsdonesprojecte3_2021))</f>
        <v/>
      </c>
      <c r="CP5" s="19" t="str">
        <f>IF(nomemp4="","",IF(investigadorsdonesprojecte3_2022="","",investigadorsdonesprojecte3_2022))</f>
        <v/>
      </c>
      <c r="CQ5" s="19" t="str">
        <f>IF(nomemp4="","",IF(investigadorsdonesprojecte3_2023="","",investigadorsdonesprojecte3_2023))</f>
        <v/>
      </c>
      <c r="CR5" s="19" t="str">
        <f>IF(nomemp4="","",IF(empresesprivades3_2017="","",empresesprivades3_2017))</f>
        <v/>
      </c>
      <c r="CS5" s="19" t="str">
        <f>IF(nomemp4="","",IF(empresesprivades3_2018="","",empresesprivades3_2018))</f>
        <v/>
      </c>
      <c r="CT5" s="19" t="str">
        <f>IF(nomemp4="","",IF(empresesprivades3_2019="","",empresesprivades3_2019))</f>
        <v/>
      </c>
      <c r="CU5" s="19" t="str">
        <f>IF(nomemp4="","",IF(empresesprivades3_2020="","",empresesprivades3_2020))</f>
        <v/>
      </c>
      <c r="CV5" s="19" t="str">
        <f>IF(nomemp4="","",IF(empresesprivades3_2021="","",empresesprivades3_2021))</f>
        <v/>
      </c>
      <c r="CW5" s="19" t="str">
        <f>IF(nomemp4="","",IF(empresesprivades3_2022="","",empresesprivades3_2022))</f>
        <v/>
      </c>
      <c r="CX5" s="19" t="str">
        <f>IF(nomemp4="","",IF(empresesprivades3_2023="","",empresesprivades3_2023))</f>
        <v/>
      </c>
      <c r="CY5" s="19" t="str">
        <f>IF(nomemp4="","",IF(empresespubliques3_2017="","",empresespubliques3_2017))</f>
        <v/>
      </c>
      <c r="CZ5" s="19" t="str">
        <f>IF(nomemp4="","",IF(empresespubliques3_2018="","",empresespubliques3_2018))</f>
        <v/>
      </c>
      <c r="DA5" s="53" t="str">
        <f>IF(nomemp4="","",IF(empresespubliques3_2019="","",empresespubliques3_2019))</f>
        <v/>
      </c>
      <c r="DB5" s="19" t="str">
        <f>IF(nomemp4="","",IF(empresespubliques3_2020="","",empresespubliques3_2020))</f>
        <v/>
      </c>
      <c r="DC5" s="19" t="str">
        <f>IF(nomemp4="","",IF(empresespubliques3_2021="","",empresespubliques3_2021))</f>
        <v/>
      </c>
      <c r="DD5" s="19" t="str">
        <f>IF(nomemp4="","",IF(empresespubliques3_2022="","",empresespubliques3_2022))</f>
        <v/>
      </c>
      <c r="DE5" s="19" t="str">
        <f>IF(nomemp4="","",IF(empresespubliques3_2023="","",empresespubliques3_2023))</f>
        <v/>
      </c>
      <c r="DF5" s="19" t="str">
        <f>IF(nomemp4="","",IF(centrestecnologics3_2017="","",centrestecnologics3_2017))</f>
        <v/>
      </c>
      <c r="DG5" s="19" t="str">
        <f>IF(nomemp4="","",IF(centrestecnologics3_2018="","",centrestecnologics3_2018))</f>
        <v/>
      </c>
      <c r="DH5" s="19" t="str">
        <f>IF(nomemp4="","",IF(centrestecnologics3_2019="","",centrestecnologics3_2019))</f>
        <v/>
      </c>
      <c r="DI5" s="19" t="str">
        <f>IF(nomemp4="","",IF(centrestecnologics3_2020="","",centrestecnologics3_2020))</f>
        <v/>
      </c>
      <c r="DJ5" s="19" t="str">
        <f>IF(nomemp4="","",IF(centrestecnologics3_2021="","",centrestecnologics3_2021))</f>
        <v/>
      </c>
      <c r="DK5" s="19" t="str">
        <f>IF(nomemp4="","",IF(centrestecnologics3_2022="","",centrestecnologics3_2022))</f>
        <v/>
      </c>
      <c r="DL5" s="19" t="str">
        <f>IF(nomemp4="","",IF(centrestecnologics3_2023="","",centrestecnologics3_2023))</f>
        <v/>
      </c>
      <c r="DM5" s="19" t="str">
        <f>IF(nomemp4="","",IF(universitats3_2017="","",universitats3_2017))</f>
        <v/>
      </c>
      <c r="DN5" s="19" t="str">
        <f>IF(nomemp4="","",IF(universitats3_2018="","",universitats3_2018))</f>
        <v/>
      </c>
      <c r="DO5" s="19" t="str">
        <f>IF(nomemp4="","",IF(universitats3_2019="","",universitats3_2019))</f>
        <v/>
      </c>
      <c r="DP5" s="19" t="str">
        <f>IF(nomemp4="","",IF(universitats3_2020="","",universitats3_2020))</f>
        <v/>
      </c>
      <c r="DQ5" s="19" t="str">
        <f>IF(nomemp4="","",IF(universitats3_2021="","",universitats3_2021))</f>
        <v/>
      </c>
      <c r="DR5" s="19" t="str">
        <f>IF(nomemp4="","",IF(universitats3_2022="","",universitats3_2022))</f>
        <v/>
      </c>
      <c r="DS5" s="19" t="str">
        <f>IF(nomemp4="","",IF(universitats3_2023="","",universitats3_2023))</f>
        <v/>
      </c>
      <c r="DT5" s="19" t="str">
        <f>IF(nomemp4="","",IF(centresrecerca3_2017="","",centresrecerca3_2017))</f>
        <v/>
      </c>
      <c r="DU5" s="19" t="str">
        <f>IF(nomemp4="","",IF(centresrecerca3_2018="","",centresrecerca3_2018))</f>
        <v/>
      </c>
      <c r="DV5" s="19" t="str">
        <f>IF(nomemp4="","",IF(centresrecerca3_2019="","",centresrecerca3_2019))</f>
        <v/>
      </c>
      <c r="DW5" s="19" t="str">
        <f>IF(nomemp4="","",IF(centresrecerca3_2020="","",centresrecerca3_2020))</f>
        <v/>
      </c>
      <c r="DX5" s="19" t="str">
        <f>IF(nomemp4="","",IF(centresrecerca3_2021="","",centresrecerca3_2021))</f>
        <v/>
      </c>
      <c r="DY5" s="19" t="str">
        <f>IF(nomemp4="","",IF(centresrecerca3_2022="","",centresrecerca3_2022))</f>
        <v/>
      </c>
      <c r="DZ5" s="19" t="str">
        <f>IF(nomemp4="","",IF(centresrecerca3_2023="","",centresrecerca3_2023))</f>
        <v/>
      </c>
      <c r="EA5" s="19" t="str">
        <f>IF(nomemp4="","",IF(infraestructures3_2017="","",infraestructures3_2017))</f>
        <v/>
      </c>
      <c r="EB5" s="19" t="str">
        <f>IF(nomemp4="","",IF(infraestructures3_2018="","",infraestructures3_2018))</f>
        <v/>
      </c>
      <c r="EC5" s="19" t="str">
        <f>IF(nomemp4="","",IF(infraestructures3_2019="","",infraestructures3_2019))</f>
        <v/>
      </c>
      <c r="ED5" s="19" t="str">
        <f>IF(nomemp4="","",IF(infraestructures3_2020="","",infraestructures3_2020))</f>
        <v/>
      </c>
      <c r="EE5" s="19" t="str">
        <f>IF(nomemp4="","",IF(infraestructures3_2021="","",infraestructures3_2021))</f>
        <v/>
      </c>
      <c r="EF5" s="19" t="str">
        <f>IF(nomemp4="","",IF(infraestructures3_2022="","",infraestructures3_2022))</f>
        <v/>
      </c>
      <c r="EG5" s="19" t="str">
        <f>IF(nomemp4="","",IF(infraestructures3_2023="","",infraestructures3_2023))</f>
        <v/>
      </c>
      <c r="EH5" s="19" t="str">
        <f>IF(nomemp4="","",IF(spinoff3_2017="","",spinoff3_2017))</f>
        <v/>
      </c>
      <c r="EI5" s="19" t="str">
        <f>IF(nomemp4="","",IF(spinoff3_2018="","",spinoff3_2018))</f>
        <v/>
      </c>
      <c r="EJ5" s="19" t="str">
        <f>IF(nomemp4="","",IF(spinoff3_2019="","",spinoff3_2019))</f>
        <v/>
      </c>
      <c r="EK5" s="19" t="str">
        <f>IF(nomemp4="","",IF(spinoff3_2020="","",spinoff3_2020))</f>
        <v/>
      </c>
      <c r="EL5" s="19" t="str">
        <f>IF(nomemp4="","",IF(spinoff3_2021="","",spinoff3_2021))</f>
        <v/>
      </c>
      <c r="EM5" s="19" t="str">
        <f>IF(nomemp4="","",IF(spinoff3_2022="","",spinoff3_2022))</f>
        <v/>
      </c>
      <c r="EN5" s="19" t="str">
        <f>IF(nomemp4="","",IF(spinoff3_2023="","",spinoff3_2023))</f>
        <v/>
      </c>
      <c r="EO5" s="19" t="str">
        <f>IF(nomemp4="","",IF(patents3_2017="","",patents3_2017))</f>
        <v/>
      </c>
      <c r="EP5" s="19" t="str">
        <f>IF(nomemp4="","",IF(patents3_2018="","",patents3_2018))</f>
        <v/>
      </c>
      <c r="EQ5" s="19" t="str">
        <f>IF(nomemp4="","",IF(patents3_2019="","",patents3_2019))</f>
        <v/>
      </c>
      <c r="ER5" s="19" t="str">
        <f>IF(nomemp4="","",IF(patents3_2020="","",patents3_2020))</f>
        <v/>
      </c>
      <c r="ES5" s="19" t="str">
        <f>IF(nomemp4="","",IF(patents3_2021="","",patents3_2021))</f>
        <v/>
      </c>
      <c r="ET5" s="19" t="str">
        <f>IF(nomemp4="","",IF(patents3_2022="","",patents3_2022))</f>
        <v/>
      </c>
      <c r="EU5" s="19" t="str">
        <f>IF(nomemp4="","",IF(patents3_2023="","",patents3_2023))</f>
        <v/>
      </c>
      <c r="EV5" s="19" t="str">
        <f>IF(nomemp4="","",IF(marques3_2017="","",marques3_2017))</f>
        <v/>
      </c>
      <c r="EW5" s="19" t="str">
        <f>IF(nomemp4="","",IF(marques3_2018="","",marques3_2018))</f>
        <v/>
      </c>
      <c r="EX5" s="19" t="str">
        <f>IF(nomemp4="","",IF(marques3_2019="","",marques3_2019))</f>
        <v/>
      </c>
      <c r="EY5" s="19" t="str">
        <f>IF(nomemp4="","",IF(marques3_2020="","",marques3_2020))</f>
        <v/>
      </c>
      <c r="EZ5" s="19" t="str">
        <f>IF(nomemp4="","",IF(marques3_2021="","",marques3_2021))</f>
        <v/>
      </c>
      <c r="FA5" s="19" t="str">
        <f>IF(nomemp4="","",IF(marques3_2022="","",marques3_2022))</f>
        <v/>
      </c>
      <c r="FB5" s="19" t="str">
        <f>IF(nomemp4="","",IF(marques3_2023="","",marques3_2023))</f>
        <v/>
      </c>
      <c r="FC5" s="19" t="str">
        <f>IF(nomemp4="","",IF(innoven3_2017="","",innoven3_2017))</f>
        <v/>
      </c>
      <c r="FD5" s="19" t="str">
        <f>IF(nomemp4="","",IF(innoven3_2018="","",innoven3_2018))</f>
        <v/>
      </c>
      <c r="FE5" s="19" t="str">
        <f>IF(nomemp4="","",IF(innoven3_2019="","",innoven3_2019))</f>
        <v/>
      </c>
      <c r="FF5" s="19" t="str">
        <f>IF(nomemp4="","",IF(innoven3_2020="","",innoven3_2020))</f>
        <v/>
      </c>
      <c r="FG5" s="19" t="str">
        <f>IF(nomemp4="","",IF(innoven3_2021="","",innoven3_2021))</f>
        <v/>
      </c>
      <c r="FH5" s="19" t="str">
        <f>IF(nomemp4="","",IF(innoven3_2022="","",innoven3_2022))</f>
        <v/>
      </c>
      <c r="FI5" s="19" t="str">
        <f>IF(nomemp4="","",IF(innoven3_2023="","",innoven3_2023))</f>
        <v/>
      </c>
      <c r="FJ5" s="19" t="str">
        <f>IF(nomemp4="","",IF(llocsdetreball3_2017="","",llocsdetreball3_2017))</f>
        <v/>
      </c>
      <c r="FK5" s="19" t="str">
        <f>IF(nomemp4="","",IF(llocsdetreball3_2018="","",llocsdetreball3_2018))</f>
        <v/>
      </c>
      <c r="FL5" s="19" t="str">
        <f>IF(nomemp4="","",IF(llocsdetreball3_2019="","",llocsdetreball3_2019))</f>
        <v/>
      </c>
      <c r="FM5" s="19" t="str">
        <f>IF(nomemp4="","",IF(llocsdetreball3_2020="","",llocsdetreball3_2020))</f>
        <v/>
      </c>
      <c r="FN5" s="19" t="str">
        <f>IF(nomemp4="","",IF(llocsdetreball3_2021="","",llocsdetreball3_2021))</f>
        <v/>
      </c>
      <c r="FO5" s="19" t="str">
        <f>IF(nomemp4="","",IF(llocsdetreball3_2022="","",llocsdetreball3_2022))</f>
        <v/>
      </c>
      <c r="FP5" s="19" t="str">
        <f>IF(nomemp4="","",IF(llocsdetreball3_2023="","",llocsdetreball3_2023))</f>
        <v/>
      </c>
      <c r="FQ5" s="19" t="str">
        <f>IF(nomemp4="","",IF(formacio3_2017="","",formacio3_2017))</f>
        <v/>
      </c>
      <c r="FR5" s="19" t="str">
        <f>IF(nomemp4="","",IF(formacio3_2018="","",formacio3_2018))</f>
        <v/>
      </c>
      <c r="FS5" s="19" t="str">
        <f>IF(nomemp4="","",IF(formacio3_2019="","",formacio3_2019))</f>
        <v/>
      </c>
      <c r="FT5" s="19" t="str">
        <f>IF(nomemp4="","",IF(formacio3_2020="","",formacio3_2020))</f>
        <v/>
      </c>
      <c r="FU5" s="19" t="str">
        <f>IF(nomemp4="","",IF(formacio3_2021="","",formacio3_2021))</f>
        <v/>
      </c>
      <c r="FV5" s="19" t="str">
        <f>IF(nomemp4="","",IF(formacio3_2022="","",formacio3_2022))</f>
        <v/>
      </c>
      <c r="FW5" s="19" t="str">
        <f>IF(nomemp4="","",IF(formacio3_2023="","",formacio3_2023))</f>
        <v/>
      </c>
      <c r="FX5" s="19" t="str">
        <f>IF(nomemp4="","",IF(ingressos3_2017="","",ingressos3_2017))</f>
        <v/>
      </c>
      <c r="FY5" s="19" t="str">
        <f>IF(nomemp4="","",IF(ingressos3_2018="","",ingressos3_2018))</f>
        <v/>
      </c>
      <c r="FZ5" s="19" t="str">
        <f>IF(nomemp4="","",IF(ingressos3_2019="","",ingressos3_2019))</f>
        <v/>
      </c>
      <c r="GA5" s="19" t="str">
        <f>IF(nomemp4="","",IF(ingressos3_2020="","",ingressos3_2020))</f>
        <v/>
      </c>
      <c r="GB5" s="19" t="str">
        <f>IF(nomemp4="","",IF(ingressos3_2021="","",ingressos3_2021))</f>
        <v/>
      </c>
      <c r="GC5" s="19" t="str">
        <f>IF(nomemp4="","",IF(ingressos3_2022="","",ingressos3_2022))</f>
        <v/>
      </c>
      <c r="GD5" s="19" t="str">
        <f>IF(nomemp4="","",IF(ingressos3_2023="","",ingressos3_2023))</f>
        <v/>
      </c>
      <c r="GE5" s="19" t="str">
        <f>IF(nomemp4="","",IF(exportacions3_2017="","",exportacions3_2017))</f>
        <v/>
      </c>
      <c r="GF5" s="19" t="str">
        <f>IF(nomemp4="","",IF(exportacions3_2018="","",exportacions3_2018))</f>
        <v/>
      </c>
      <c r="GG5" s="19" t="str">
        <f>IF(nomemp4="","",IF(exportacions3_2019="","",exportacions3_2019))</f>
        <v/>
      </c>
      <c r="GH5" s="19" t="str">
        <f>IF(nomemp4="","",IF(exportacions3_2020="","",exportacions3_2020))</f>
        <v/>
      </c>
      <c r="GI5" s="19" t="str">
        <f>IF(nomemp4="","",IF(exportacions3_2021="","",exportacions3_2021))</f>
        <v/>
      </c>
      <c r="GJ5" s="19" t="str">
        <f>IF(nomemp4="","",IF(exportacions3_2022="","",exportacions3_2022))</f>
        <v/>
      </c>
      <c r="GK5" s="19" t="str">
        <f>IF(nomemp4="","",IF(exportacions3_2023="","",exportacions3_2023))</f>
        <v/>
      </c>
      <c r="GL5" t="str">
        <f>IF(nomemp4="","",IF(oportunitats3_2017="","",oportunitats3_2017))</f>
        <v/>
      </c>
      <c r="GM5" t="str">
        <f>IF(nomemp4="","",IF(oportunitats3_2018="","",oportunitats3_2018))</f>
        <v/>
      </c>
      <c r="GN5" t="str">
        <f>IF(nomemp4="","",IF(oportunitats3_2019="","",oportunitats3_2019))</f>
        <v/>
      </c>
      <c r="GO5" t="str">
        <f>IF(nomemp4="","",IF(oportunitats3_2020="","",oportunitats3_2020))</f>
        <v/>
      </c>
      <c r="GP5" t="str">
        <f>IF(nomemp4="","",IF(oportunitats3_2021="","",oportunitats3_2021))</f>
        <v/>
      </c>
      <c r="GQ5" s="19" t="str">
        <f>IF(nomemp4="","",IF(oportunitats3_2022="","",oportunitats3_2022))</f>
        <v/>
      </c>
      <c r="GR5" s="19" t="str">
        <f>IF(nomemp4="","",IF(oportunitats3_2023="","",oportunitats3_2023))</f>
        <v/>
      </c>
      <c r="GS5" s="19" t="str">
        <f>IF(nomemp4="","",IF(productivitat3_2017="","",productivitat3_2017))</f>
        <v/>
      </c>
      <c r="GT5" s="19" t="str">
        <f>IF(nomemp4="","",IF(productivitat3_2018="","",productivitat3_2018))</f>
        <v/>
      </c>
      <c r="GU5" s="19" t="str">
        <f>IF(nomemp4="","",IF(productivitat3_2019="","",productivitat3_2019))</f>
        <v/>
      </c>
      <c r="GV5" s="19" t="str">
        <f>IF(nomemp4="","",IF(productivitat3_2020="","",productivitat3_2020))</f>
        <v/>
      </c>
      <c r="GW5" s="19" t="str">
        <f>IF(nomemp4="","",IF(productivitat3_2021="","",productivitat3_2021))</f>
        <v/>
      </c>
      <c r="GX5" s="19" t="str">
        <f>IF(nomemp4="","",IF(productivitat3_2022="","",productivitat3_2022))</f>
        <v/>
      </c>
      <c r="GY5" s="19" t="str">
        <f>IF(nomemp4="","",IF(productivitat3_2023="","",productivitat3_2023))</f>
        <v/>
      </c>
      <c r="GZ5" s="19" t="str">
        <f>IF(nomemp4="","",IF(aigua3_2017="","",aigua3_2017))</f>
        <v/>
      </c>
      <c r="HA5" s="19" t="str">
        <f>IF(nomemp4="","",IF(aigua3_2018="","",aigua3_2018))</f>
        <v/>
      </c>
      <c r="HB5" s="19" t="str">
        <f>IF(nomemp4="","",IF(aigua3_2019="","",aigua3_2019))</f>
        <v/>
      </c>
      <c r="HC5" s="19" t="str">
        <f>IF(nomemp4="","",IF(aigua3_2020="","",aigua3_2020))</f>
        <v/>
      </c>
      <c r="HD5" s="19" t="str">
        <f>IF(nomemp4="","",IF(aigua3_2021="","",aigua3_2021))</f>
        <v/>
      </c>
      <c r="HE5" s="19" t="str">
        <f>IF(nomemp4="","",IF(aigua3_2022="","",aigua3_2022))</f>
        <v/>
      </c>
      <c r="HF5" s="19" t="str">
        <f>IF(nomemp4="","",IF(aigua3_2023="","",aigua3_2023))</f>
        <v/>
      </c>
      <c r="HG5" s="19" t="str">
        <f>IF(nomemp4="","",IF(energia3_2017="","",energia3_2017))</f>
        <v/>
      </c>
      <c r="HH5" s="19" t="str">
        <f>IF(nomemp4="","",IF(energia3_2018="","",energia3_2018))</f>
        <v/>
      </c>
      <c r="HI5" s="19" t="str">
        <f>IF(nomemp4="","",IF(energia3_2019="","",energia3_2019))</f>
        <v/>
      </c>
      <c r="HJ5" s="19" t="str">
        <f>IF(nomemp4="","",IF(energia3_2020="","",energia3_2020))</f>
        <v/>
      </c>
      <c r="HK5" s="19" t="str">
        <f>IF(nomemp4="","",IF(energia3_2021="","",energia3_2021))</f>
        <v/>
      </c>
      <c r="HL5" s="19" t="str">
        <f>IF(nomemp4="","",IF(energia3_2022="","",energia3_2022))</f>
        <v/>
      </c>
      <c r="HM5" s="19" t="str">
        <f>IF(nomemp4="","",IF(energia3_2023="","",energia3_2023))</f>
        <v/>
      </c>
      <c r="HN5" s="19" t="str">
        <f>IF(nomemp4="","",IF(emissions3_2017="","",emissions3_2017))</f>
        <v/>
      </c>
      <c r="HO5" s="19" t="str">
        <f>IF(nomemp4="","",IF(emissions3_2018="","",emissions3_2018))</f>
        <v/>
      </c>
      <c r="HP5" s="19" t="str">
        <f>IF(nomemp4="","",IF(emissions3_2019="","",emissions3_2019))</f>
        <v/>
      </c>
      <c r="HQ5" s="19" t="str">
        <f>IF(nomemp4="","",IF(emissions3_2020="","",emissions3_2020))</f>
        <v/>
      </c>
      <c r="HR5" s="19" t="str">
        <f>IF(nomemp4="","",IF(emissions3_2021="","",emissions3_2021))</f>
        <v/>
      </c>
      <c r="HS5" s="19" t="str">
        <f>IF(nomemp4="","",IF(emissions3_2022="","",emissions3_2022))</f>
        <v/>
      </c>
      <c r="HT5" s="19" t="str">
        <f>IF(nomemp4="","",IF(emissions3_2023="","",emissions3_2023))</f>
        <v/>
      </c>
      <c r="HU5" s="19" t="str">
        <f>IF(nomemp4="","",IF(residus3_2017="","",residus3_2017))</f>
        <v/>
      </c>
      <c r="HV5" s="19" t="str">
        <f>IF(nomemp4="","",IF(residus3_2018="","",residus3_2018))</f>
        <v/>
      </c>
      <c r="HW5" s="19" t="str">
        <f>IF(nomemp4="","",IF(residus3_2019="","",residus3_2019))</f>
        <v/>
      </c>
      <c r="HX5" s="19" t="str">
        <f>IF(nomemp4="","",IF(residus3_2020="","",residus3_2020))</f>
        <v/>
      </c>
      <c r="HY5" s="19" t="str">
        <f>IF(nomemp4="","",IF(residus3_2021="","",residus3_2021))</f>
        <v/>
      </c>
      <c r="HZ5" s="19" t="str">
        <f>IF(nomemp4="","",IF(residus3_2022="","",residus3_2022))</f>
        <v/>
      </c>
      <c r="IA5" s="19" t="str">
        <f>IF(nomemp4="","",IF(residus3_2023="","",residus3_2023))</f>
        <v/>
      </c>
      <c r="IB5" s="19"/>
      <c r="IC5" s="17"/>
      <c r="ID5" s="17"/>
      <c r="IE5" s="17"/>
    </row>
    <row r="6" spans="1:239" x14ac:dyDescent="0.25"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</row>
    <row r="7" spans="1:239" x14ac:dyDescent="0.25"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</row>
    <row r="8" spans="1:239" x14ac:dyDescent="0.25"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</row>
    <row r="9" spans="1:239" x14ac:dyDescent="0.25"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</row>
    <row r="10" spans="1:239" x14ac:dyDescent="0.25">
      <c r="I10" s="19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</row>
    <row r="11" spans="1:239" x14ac:dyDescent="0.25"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</row>
    <row r="12" spans="1:239" x14ac:dyDescent="0.25"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</row>
    <row r="13" spans="1:239" x14ac:dyDescent="0.25"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</row>
    <row r="14" spans="1:239" x14ac:dyDescent="0.25"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</row>
  </sheetData>
  <customSheetViews>
    <customSheetView guid="{EDFE284D-223A-49E7-8396-C31999A2537B}">
      <selection activeCell="K7" sqref="K7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940</vt:i4>
      </vt:variant>
    </vt:vector>
  </HeadingPairs>
  <TitlesOfParts>
    <vt:vector size="945" baseType="lpstr">
      <vt:lpstr>Sol·licitant </vt:lpstr>
      <vt:lpstr>Participant 01</vt:lpstr>
      <vt:lpstr>Participant 02</vt:lpstr>
      <vt:lpstr>Participant 03</vt:lpstr>
      <vt:lpstr>XX</vt:lpstr>
      <vt:lpstr>aigua1_2017</vt:lpstr>
      <vt:lpstr>aigua1_2018</vt:lpstr>
      <vt:lpstr>aigua1_2019</vt:lpstr>
      <vt:lpstr>aigua1_2020</vt:lpstr>
      <vt:lpstr>aigua1_2021</vt:lpstr>
      <vt:lpstr>aigua1_2022</vt:lpstr>
      <vt:lpstr>aigua1_2023</vt:lpstr>
      <vt:lpstr>aigua2_2017</vt:lpstr>
      <vt:lpstr>aigua2_2018</vt:lpstr>
      <vt:lpstr>aigua2_2019</vt:lpstr>
      <vt:lpstr>aigua2_2020</vt:lpstr>
      <vt:lpstr>aigua2_2021</vt:lpstr>
      <vt:lpstr>aigua2_2022</vt:lpstr>
      <vt:lpstr>aigua2_2023</vt:lpstr>
      <vt:lpstr>aigua2017</vt:lpstr>
      <vt:lpstr>aigua2018</vt:lpstr>
      <vt:lpstr>aigua2019</vt:lpstr>
      <vt:lpstr>aigua2020</vt:lpstr>
      <vt:lpstr>aigua2021</vt:lpstr>
      <vt:lpstr>aigua2022</vt:lpstr>
      <vt:lpstr>aigua2023</vt:lpstr>
      <vt:lpstr>aigua3_2017</vt:lpstr>
      <vt:lpstr>aigua3_2018</vt:lpstr>
      <vt:lpstr>aigua3_2019</vt:lpstr>
      <vt:lpstr>aigua3_2020</vt:lpstr>
      <vt:lpstr>aigua3_2021</vt:lpstr>
      <vt:lpstr>aigua3_2022</vt:lpstr>
      <vt:lpstr>aigua3_2023</vt:lpstr>
      <vt:lpstr>ajudes1_2017</vt:lpstr>
      <vt:lpstr>ajudes1_2018</vt:lpstr>
      <vt:lpstr>ajudes1_2019</vt:lpstr>
      <vt:lpstr>ajudes1_2020</vt:lpstr>
      <vt:lpstr>ajudes1_2021</vt:lpstr>
      <vt:lpstr>ajudes1_2022</vt:lpstr>
      <vt:lpstr>ajudes1_2023</vt:lpstr>
      <vt:lpstr>ajudes2_2017</vt:lpstr>
      <vt:lpstr>ajudes2_2018</vt:lpstr>
      <vt:lpstr>ajudes2_2019</vt:lpstr>
      <vt:lpstr>ajudes2_2020</vt:lpstr>
      <vt:lpstr>ajudes2_2021</vt:lpstr>
      <vt:lpstr>ajudes2_2022</vt:lpstr>
      <vt:lpstr>ajudes2_2023</vt:lpstr>
      <vt:lpstr>ajudes2017</vt:lpstr>
      <vt:lpstr>ajudes2018</vt:lpstr>
      <vt:lpstr>ajudes2019</vt:lpstr>
      <vt:lpstr>ajudes2020</vt:lpstr>
      <vt:lpstr>ajudes2021</vt:lpstr>
      <vt:lpstr>ajudes2022</vt:lpstr>
      <vt:lpstr>ajudes2023</vt:lpstr>
      <vt:lpstr>ajudes3_2017</vt:lpstr>
      <vt:lpstr>ajudes3_2018</vt:lpstr>
      <vt:lpstr>ajudes3_2019</vt:lpstr>
      <vt:lpstr>ajudes3_2020</vt:lpstr>
      <vt:lpstr>ajudes3_2021</vt:lpstr>
      <vt:lpstr>ajudes3_2022</vt:lpstr>
      <vt:lpstr>ajudes3_2023</vt:lpstr>
      <vt:lpstr>'Participant 03'!Àrea_d'impressió</vt:lpstr>
      <vt:lpstr>centresrecerca1_2017</vt:lpstr>
      <vt:lpstr>centresrecerca1_2018</vt:lpstr>
      <vt:lpstr>centresrecerca1_2019</vt:lpstr>
      <vt:lpstr>centresrecerca1_2020</vt:lpstr>
      <vt:lpstr>centresrecerca1_2021</vt:lpstr>
      <vt:lpstr>centresrecerca1_2022</vt:lpstr>
      <vt:lpstr>centresrecerca1_2023</vt:lpstr>
      <vt:lpstr>centresrecerca2_2017</vt:lpstr>
      <vt:lpstr>centresrecerca2_2018</vt:lpstr>
      <vt:lpstr>centresrecerca2_2019</vt:lpstr>
      <vt:lpstr>centresrecerca2_2020</vt:lpstr>
      <vt:lpstr>centresrecerca2_2021</vt:lpstr>
      <vt:lpstr>centresrecerca2_2022</vt:lpstr>
      <vt:lpstr>centresrecerca2_2023</vt:lpstr>
      <vt:lpstr>centresrecerca2017</vt:lpstr>
      <vt:lpstr>centresrecerca2018</vt:lpstr>
      <vt:lpstr>centresrecerca2019</vt:lpstr>
      <vt:lpstr>centresrecerca2020</vt:lpstr>
      <vt:lpstr>centresrecerca2021</vt:lpstr>
      <vt:lpstr>centresrecerca2022</vt:lpstr>
      <vt:lpstr>centresrecerca2023</vt:lpstr>
      <vt:lpstr>centresrecerca3_2017</vt:lpstr>
      <vt:lpstr>centresrecerca3_2018</vt:lpstr>
      <vt:lpstr>centresrecerca3_2019</vt:lpstr>
      <vt:lpstr>centresrecerca3_2020</vt:lpstr>
      <vt:lpstr>centresrecerca3_2021</vt:lpstr>
      <vt:lpstr>centresrecerca3_2022</vt:lpstr>
      <vt:lpstr>centresrecerca3_2023</vt:lpstr>
      <vt:lpstr>centrestecnologics1_2017</vt:lpstr>
      <vt:lpstr>centrestecnologics1_2018</vt:lpstr>
      <vt:lpstr>centrestecnologics1_2019</vt:lpstr>
      <vt:lpstr>centrestecnologics1_2020</vt:lpstr>
      <vt:lpstr>centrestecnologics1_2021</vt:lpstr>
      <vt:lpstr>centrestecnologics1_2022</vt:lpstr>
      <vt:lpstr>centrestecnologics1_2023</vt:lpstr>
      <vt:lpstr>centrestecnologics2_2017</vt:lpstr>
      <vt:lpstr>centrestecnologics2_2018</vt:lpstr>
      <vt:lpstr>centrestecnologics2_2019</vt:lpstr>
      <vt:lpstr>centrestecnologics2_2020</vt:lpstr>
      <vt:lpstr>centrestecnologics2_2021</vt:lpstr>
      <vt:lpstr>centrestecnologics2_2022</vt:lpstr>
      <vt:lpstr>centrestecnologics2_2023</vt:lpstr>
      <vt:lpstr>centrestecnologics2017</vt:lpstr>
      <vt:lpstr>centrestecnologics2018</vt:lpstr>
      <vt:lpstr>centrestecnologics2019</vt:lpstr>
      <vt:lpstr>centrestecnologics2020</vt:lpstr>
      <vt:lpstr>centrestecnologics2021</vt:lpstr>
      <vt:lpstr>centrestecnologics2022</vt:lpstr>
      <vt:lpstr>centrestecnologics2023</vt:lpstr>
      <vt:lpstr>centrestecnologics3_2017</vt:lpstr>
      <vt:lpstr>centrestecnologics3_2018</vt:lpstr>
      <vt:lpstr>centrestecnologics3_2019</vt:lpstr>
      <vt:lpstr>centrestecnologics3_2020</vt:lpstr>
      <vt:lpstr>centrestecnologics3_2021</vt:lpstr>
      <vt:lpstr>centrestecnologics3_2022</vt:lpstr>
      <vt:lpstr>centrestecnologics3_2023</vt:lpstr>
      <vt:lpstr>certificacio1_2017</vt:lpstr>
      <vt:lpstr>certificacio1_2018</vt:lpstr>
      <vt:lpstr>certificacio1_2019</vt:lpstr>
      <vt:lpstr>certificacio1_2020</vt:lpstr>
      <vt:lpstr>certificacio1_2021</vt:lpstr>
      <vt:lpstr>certificacio1_2022</vt:lpstr>
      <vt:lpstr>certificacio1_2023</vt:lpstr>
      <vt:lpstr>certificacio2_2017</vt:lpstr>
      <vt:lpstr>certificacio2_2018</vt:lpstr>
      <vt:lpstr>certificacio2_2019</vt:lpstr>
      <vt:lpstr>certificacio2_2020</vt:lpstr>
      <vt:lpstr>certificacio2_2021</vt:lpstr>
      <vt:lpstr>certificacio2_2022</vt:lpstr>
      <vt:lpstr>certificacio2_2023</vt:lpstr>
      <vt:lpstr>certificacio2017</vt:lpstr>
      <vt:lpstr>certificacio2018</vt:lpstr>
      <vt:lpstr>certificacio2019</vt:lpstr>
      <vt:lpstr>certificacio2020</vt:lpstr>
      <vt:lpstr>certificacio2021</vt:lpstr>
      <vt:lpstr>certificacio2022</vt:lpstr>
      <vt:lpstr>certificacio2023</vt:lpstr>
      <vt:lpstr>certificacio3_2017</vt:lpstr>
      <vt:lpstr>certificacio3_2018</vt:lpstr>
      <vt:lpstr>certificacio3_2019</vt:lpstr>
      <vt:lpstr>certificacio3_2020</vt:lpstr>
      <vt:lpstr>certificacio3_2021</vt:lpstr>
      <vt:lpstr>certificacio3_2022</vt:lpstr>
      <vt:lpstr>certificacio3_2023</vt:lpstr>
      <vt:lpstr>codiexp1</vt:lpstr>
      <vt:lpstr>codiparticipant00</vt:lpstr>
      <vt:lpstr>codiparticipant1</vt:lpstr>
      <vt:lpstr>codiparticipant2</vt:lpstr>
      <vt:lpstr>codiparticipant3</vt:lpstr>
      <vt:lpstr>copera1_2017</vt:lpstr>
      <vt:lpstr>copera1_2018</vt:lpstr>
      <vt:lpstr>copera1_2019</vt:lpstr>
      <vt:lpstr>copera1_2020</vt:lpstr>
      <vt:lpstr>copera1_2021</vt:lpstr>
      <vt:lpstr>copera1_2022</vt:lpstr>
      <vt:lpstr>copera1_2023</vt:lpstr>
      <vt:lpstr>copera2_2017</vt:lpstr>
      <vt:lpstr>copera2_2018</vt:lpstr>
      <vt:lpstr>copera2_2019</vt:lpstr>
      <vt:lpstr>copera2_2020</vt:lpstr>
      <vt:lpstr>copera2_2021</vt:lpstr>
      <vt:lpstr>copera2_2022</vt:lpstr>
      <vt:lpstr>copera2_2023</vt:lpstr>
      <vt:lpstr>copera2017</vt:lpstr>
      <vt:lpstr>copera2018</vt:lpstr>
      <vt:lpstr>copera2019</vt:lpstr>
      <vt:lpstr>copera2020</vt:lpstr>
      <vt:lpstr>copera2021</vt:lpstr>
      <vt:lpstr>copera2022</vt:lpstr>
      <vt:lpstr>copera2023</vt:lpstr>
      <vt:lpstr>copera3_2017</vt:lpstr>
      <vt:lpstr>copera3_2018</vt:lpstr>
      <vt:lpstr>copera3_2019</vt:lpstr>
      <vt:lpstr>copera3_2020</vt:lpstr>
      <vt:lpstr>copera3_2021</vt:lpstr>
      <vt:lpstr>copera3_2022</vt:lpstr>
      <vt:lpstr>copera3_2023</vt:lpstr>
      <vt:lpstr>emissions1_2017</vt:lpstr>
      <vt:lpstr>emissions1_2018</vt:lpstr>
      <vt:lpstr>emissions1_2019</vt:lpstr>
      <vt:lpstr>emissions1_2020</vt:lpstr>
      <vt:lpstr>emissions1_2021</vt:lpstr>
      <vt:lpstr>emissions1_2022</vt:lpstr>
      <vt:lpstr>emissions1_2023</vt:lpstr>
      <vt:lpstr>emissions2_2017</vt:lpstr>
      <vt:lpstr>emissions2_2018</vt:lpstr>
      <vt:lpstr>emissions2_2019</vt:lpstr>
      <vt:lpstr>emissions2_2020</vt:lpstr>
      <vt:lpstr>emissions2_2021</vt:lpstr>
      <vt:lpstr>emissions2_2022</vt:lpstr>
      <vt:lpstr>emissions2_2023</vt:lpstr>
      <vt:lpstr>emissions2017</vt:lpstr>
      <vt:lpstr>emissions2018</vt:lpstr>
      <vt:lpstr>emissions2019</vt:lpstr>
      <vt:lpstr>emissions2020</vt:lpstr>
      <vt:lpstr>emissions2021</vt:lpstr>
      <vt:lpstr>emissions2022</vt:lpstr>
      <vt:lpstr>emissions2023</vt:lpstr>
      <vt:lpstr>emissions3_2017</vt:lpstr>
      <vt:lpstr>emissions3_2018</vt:lpstr>
      <vt:lpstr>emissions3_2019</vt:lpstr>
      <vt:lpstr>emissions3_2020</vt:lpstr>
      <vt:lpstr>emissions3_2021</vt:lpstr>
      <vt:lpstr>emissions3_2022</vt:lpstr>
      <vt:lpstr>emissions3_2023</vt:lpstr>
      <vt:lpstr>empresesprivades1_2017</vt:lpstr>
      <vt:lpstr>empresesprivades1_2018</vt:lpstr>
      <vt:lpstr>empresesprivades1_2019</vt:lpstr>
      <vt:lpstr>empresesprivades1_2020</vt:lpstr>
      <vt:lpstr>empresesprivades1_2021</vt:lpstr>
      <vt:lpstr>empresesprivades1_2022</vt:lpstr>
      <vt:lpstr>empresesprivades1_2023</vt:lpstr>
      <vt:lpstr>empresesprivades2_2017</vt:lpstr>
      <vt:lpstr>empresesprivades2_2018</vt:lpstr>
      <vt:lpstr>empresesprivades2_2019</vt:lpstr>
      <vt:lpstr>empresesprivades2_2020</vt:lpstr>
      <vt:lpstr>empresesprivades2_2021</vt:lpstr>
      <vt:lpstr>empresesprivades2_2022</vt:lpstr>
      <vt:lpstr>empresesprivades2_2023</vt:lpstr>
      <vt:lpstr>empresesprivades2017</vt:lpstr>
      <vt:lpstr>empresesprivades2018</vt:lpstr>
      <vt:lpstr>empresesprivades2019</vt:lpstr>
      <vt:lpstr>empresesprivades2020</vt:lpstr>
      <vt:lpstr>empresesprivades2021</vt:lpstr>
      <vt:lpstr>empresesprivades2022</vt:lpstr>
      <vt:lpstr>empresesprivades2023</vt:lpstr>
      <vt:lpstr>empresesprivades3_2017</vt:lpstr>
      <vt:lpstr>empresesprivades3_2018</vt:lpstr>
      <vt:lpstr>empresesprivades3_2019</vt:lpstr>
      <vt:lpstr>empresesprivades3_2020</vt:lpstr>
      <vt:lpstr>empresesprivades3_2021</vt:lpstr>
      <vt:lpstr>empresesprivades3_2022</vt:lpstr>
      <vt:lpstr>empresesprivades3_2023</vt:lpstr>
      <vt:lpstr>empresespubliques1_2017</vt:lpstr>
      <vt:lpstr>empresespubliques1_2018</vt:lpstr>
      <vt:lpstr>empresespubliques1_2019</vt:lpstr>
      <vt:lpstr>empresespubliques1_2020</vt:lpstr>
      <vt:lpstr>empresespubliques1_2021</vt:lpstr>
      <vt:lpstr>empresespubliques1_2022</vt:lpstr>
      <vt:lpstr>empresespubliques1_2023</vt:lpstr>
      <vt:lpstr>empresespubliques2_2017</vt:lpstr>
      <vt:lpstr>empresespubliques2_2018</vt:lpstr>
      <vt:lpstr>empresespubliques2_2019</vt:lpstr>
      <vt:lpstr>empresespubliques2_2020</vt:lpstr>
      <vt:lpstr>empresespubliques2_2021</vt:lpstr>
      <vt:lpstr>empresespubliques2_2022</vt:lpstr>
      <vt:lpstr>empresespubliques2_2023</vt:lpstr>
      <vt:lpstr>empresespubliques2017</vt:lpstr>
      <vt:lpstr>empresespubliques2018</vt:lpstr>
      <vt:lpstr>empresespubliques2019</vt:lpstr>
      <vt:lpstr>empresespubliques2020</vt:lpstr>
      <vt:lpstr>empresespubliques2021</vt:lpstr>
      <vt:lpstr>empresespubliques2022</vt:lpstr>
      <vt:lpstr>empresespubliques2023</vt:lpstr>
      <vt:lpstr>empresespubliques3_2017</vt:lpstr>
      <vt:lpstr>empresespubliques3_2018</vt:lpstr>
      <vt:lpstr>empresespubliques3_2019</vt:lpstr>
      <vt:lpstr>empresespubliques3_2020</vt:lpstr>
      <vt:lpstr>empresespubliques3_2021</vt:lpstr>
      <vt:lpstr>empresespubliques3_2022</vt:lpstr>
      <vt:lpstr>empresespubliques3_2023</vt:lpstr>
      <vt:lpstr>energia1_2017</vt:lpstr>
      <vt:lpstr>energia1_2018</vt:lpstr>
      <vt:lpstr>energia1_2019</vt:lpstr>
      <vt:lpstr>energia1_2020</vt:lpstr>
      <vt:lpstr>energia1_2021</vt:lpstr>
      <vt:lpstr>energia1_2022</vt:lpstr>
      <vt:lpstr>energia1_2023</vt:lpstr>
      <vt:lpstr>energia2_2017</vt:lpstr>
      <vt:lpstr>energia2_2018</vt:lpstr>
      <vt:lpstr>energia2_2019</vt:lpstr>
      <vt:lpstr>energia2_2020</vt:lpstr>
      <vt:lpstr>energia2_2021</vt:lpstr>
      <vt:lpstr>energia2_2022</vt:lpstr>
      <vt:lpstr>energia2_2023</vt:lpstr>
      <vt:lpstr>energia2017</vt:lpstr>
      <vt:lpstr>energia2018</vt:lpstr>
      <vt:lpstr>energia2019</vt:lpstr>
      <vt:lpstr>energia2020</vt:lpstr>
      <vt:lpstr>energia2021</vt:lpstr>
      <vt:lpstr>energia2022</vt:lpstr>
      <vt:lpstr>energia2023</vt:lpstr>
      <vt:lpstr>energia3_2017</vt:lpstr>
      <vt:lpstr>energia3_2018</vt:lpstr>
      <vt:lpstr>energia3_2019</vt:lpstr>
      <vt:lpstr>energia3_2020</vt:lpstr>
      <vt:lpstr>energia3_2021</vt:lpstr>
      <vt:lpstr>energia3_2022</vt:lpstr>
      <vt:lpstr>energia3_2023</vt:lpstr>
      <vt:lpstr>exportacions1_2017</vt:lpstr>
      <vt:lpstr>exportacions1_2018</vt:lpstr>
      <vt:lpstr>exportacions1_2019</vt:lpstr>
      <vt:lpstr>exportacions1_2020</vt:lpstr>
      <vt:lpstr>exportacions1_2021</vt:lpstr>
      <vt:lpstr>exportacions1_2022</vt:lpstr>
      <vt:lpstr>exportacions1_2023</vt:lpstr>
      <vt:lpstr>exportacions2_2017</vt:lpstr>
      <vt:lpstr>exportacions2_2018</vt:lpstr>
      <vt:lpstr>exportacions2_2019</vt:lpstr>
      <vt:lpstr>exportacions2_2020</vt:lpstr>
      <vt:lpstr>exportacions2_2021</vt:lpstr>
      <vt:lpstr>exportacions2_2022</vt:lpstr>
      <vt:lpstr>exportacions2_2023</vt:lpstr>
      <vt:lpstr>exportacions2017</vt:lpstr>
      <vt:lpstr>exportacions2018</vt:lpstr>
      <vt:lpstr>exportacions2019</vt:lpstr>
      <vt:lpstr>exportacions2020</vt:lpstr>
      <vt:lpstr>exportacions2021</vt:lpstr>
      <vt:lpstr>exportacions2022</vt:lpstr>
      <vt:lpstr>exportacions2023</vt:lpstr>
      <vt:lpstr>exportacions3_2017</vt:lpstr>
      <vt:lpstr>exportacions3_2018</vt:lpstr>
      <vt:lpstr>exportacions3_2019</vt:lpstr>
      <vt:lpstr>exportacions3_2020</vt:lpstr>
      <vt:lpstr>exportacions3_2021</vt:lpstr>
      <vt:lpstr>exportacions3_2022</vt:lpstr>
      <vt:lpstr>exportacions3_2023</vt:lpstr>
      <vt:lpstr>formacio1_2017</vt:lpstr>
      <vt:lpstr>formacio1_2018</vt:lpstr>
      <vt:lpstr>formacio1_2019</vt:lpstr>
      <vt:lpstr>formacio1_2020</vt:lpstr>
      <vt:lpstr>formacio1_2021</vt:lpstr>
      <vt:lpstr>formacio1_2022</vt:lpstr>
      <vt:lpstr>formacio1_2023</vt:lpstr>
      <vt:lpstr>formacio2_2017</vt:lpstr>
      <vt:lpstr>formacio2_2018</vt:lpstr>
      <vt:lpstr>formacio2_2019</vt:lpstr>
      <vt:lpstr>formacio2_2020</vt:lpstr>
      <vt:lpstr>formacio2_2021</vt:lpstr>
      <vt:lpstr>formacio2_2022</vt:lpstr>
      <vt:lpstr>formacio2_2023</vt:lpstr>
      <vt:lpstr>formacio2017</vt:lpstr>
      <vt:lpstr>formacio2018</vt:lpstr>
      <vt:lpstr>formacio2019</vt:lpstr>
      <vt:lpstr>formacio2020</vt:lpstr>
      <vt:lpstr>formacio2021</vt:lpstr>
      <vt:lpstr>formacio2022</vt:lpstr>
      <vt:lpstr>formacio2023</vt:lpstr>
      <vt:lpstr>formacio3_2017</vt:lpstr>
      <vt:lpstr>formacio3_2018</vt:lpstr>
      <vt:lpstr>formacio3_2019</vt:lpstr>
      <vt:lpstr>formacio3_2020</vt:lpstr>
      <vt:lpstr>formacio3_2021</vt:lpstr>
      <vt:lpstr>formacio3_2022</vt:lpstr>
      <vt:lpstr>formacio3_2023</vt:lpstr>
      <vt:lpstr>infraestructures1_2017</vt:lpstr>
      <vt:lpstr>infraestructures1_2018</vt:lpstr>
      <vt:lpstr>infraestructures1_2019</vt:lpstr>
      <vt:lpstr>infraestructures1_2020</vt:lpstr>
      <vt:lpstr>infraestructures1_2021</vt:lpstr>
      <vt:lpstr>infraestructures1_2022</vt:lpstr>
      <vt:lpstr>infraestructures1_2023</vt:lpstr>
      <vt:lpstr>infraestructures2_2017</vt:lpstr>
      <vt:lpstr>infraestructures2_2018</vt:lpstr>
      <vt:lpstr>infraestructures2_2019</vt:lpstr>
      <vt:lpstr>infraestructures2_2020</vt:lpstr>
      <vt:lpstr>infraestructures2_2021</vt:lpstr>
      <vt:lpstr>infraestructures2_2022</vt:lpstr>
      <vt:lpstr>infraestructures2_2023</vt:lpstr>
      <vt:lpstr>infraestructures2017</vt:lpstr>
      <vt:lpstr>infraestructures2018</vt:lpstr>
      <vt:lpstr>infraestructures2019</vt:lpstr>
      <vt:lpstr>infraestructures2020</vt:lpstr>
      <vt:lpstr>infraestructures2021</vt:lpstr>
      <vt:lpstr>infraestructures2022</vt:lpstr>
      <vt:lpstr>infraestructures2023</vt:lpstr>
      <vt:lpstr>infraestructures3_2017</vt:lpstr>
      <vt:lpstr>infraestructures3_2018</vt:lpstr>
      <vt:lpstr>infraestructures3_2019</vt:lpstr>
      <vt:lpstr>infraestructures3_2020</vt:lpstr>
      <vt:lpstr>infraestructures3_2021</vt:lpstr>
      <vt:lpstr>infraestructures3_2022</vt:lpstr>
      <vt:lpstr>infraestructures3_2023</vt:lpstr>
      <vt:lpstr>ingressos1_2017</vt:lpstr>
      <vt:lpstr>ingressos1_2018</vt:lpstr>
      <vt:lpstr>ingressos1_2019</vt:lpstr>
      <vt:lpstr>ingressos1_2020</vt:lpstr>
      <vt:lpstr>ingressos1_2021</vt:lpstr>
      <vt:lpstr>ingressos1_2022</vt:lpstr>
      <vt:lpstr>ingressos1_2023</vt:lpstr>
      <vt:lpstr>ingressos2_2017</vt:lpstr>
      <vt:lpstr>ingressos2_2018</vt:lpstr>
      <vt:lpstr>ingressos2_2019</vt:lpstr>
      <vt:lpstr>ingressos2_2020</vt:lpstr>
      <vt:lpstr>ingressos2_2021</vt:lpstr>
      <vt:lpstr>ingressos2_2022</vt:lpstr>
      <vt:lpstr>ingressos2_2023</vt:lpstr>
      <vt:lpstr>ingressos2017</vt:lpstr>
      <vt:lpstr>ingressos2018</vt:lpstr>
      <vt:lpstr>ingressos2019</vt:lpstr>
      <vt:lpstr>ingressos2020</vt:lpstr>
      <vt:lpstr>ingressos2021</vt:lpstr>
      <vt:lpstr>ingressos2022</vt:lpstr>
      <vt:lpstr>ingressos2023</vt:lpstr>
      <vt:lpstr>ingressos3_2017</vt:lpstr>
      <vt:lpstr>ingressos3_2018</vt:lpstr>
      <vt:lpstr>ingressos3_2019</vt:lpstr>
      <vt:lpstr>ingressos3_2020</vt:lpstr>
      <vt:lpstr>ingressos3_2021</vt:lpstr>
      <vt:lpstr>ingressos3_2022</vt:lpstr>
      <vt:lpstr>ingressos3_2023</vt:lpstr>
      <vt:lpstr>innoven1_2017</vt:lpstr>
      <vt:lpstr>innoven1_2018</vt:lpstr>
      <vt:lpstr>innoven1_2019</vt:lpstr>
      <vt:lpstr>innoven1_2020</vt:lpstr>
      <vt:lpstr>innoven1_2021</vt:lpstr>
      <vt:lpstr>innoven1_2022</vt:lpstr>
      <vt:lpstr>innoven1_2023</vt:lpstr>
      <vt:lpstr>innoven2_2017</vt:lpstr>
      <vt:lpstr>innoven2_2018</vt:lpstr>
      <vt:lpstr>innoven2_2019</vt:lpstr>
      <vt:lpstr>innoven2_2020</vt:lpstr>
      <vt:lpstr>innoven2_2021</vt:lpstr>
      <vt:lpstr>innoven2_2022</vt:lpstr>
      <vt:lpstr>innoven2_2023</vt:lpstr>
      <vt:lpstr>innoven2017</vt:lpstr>
      <vt:lpstr>innoven2018</vt:lpstr>
      <vt:lpstr>innoven2019</vt:lpstr>
      <vt:lpstr>innoven2020</vt:lpstr>
      <vt:lpstr>innoven2021</vt:lpstr>
      <vt:lpstr>innoven2022</vt:lpstr>
      <vt:lpstr>innoven2023</vt:lpstr>
      <vt:lpstr>innoven3_2017</vt:lpstr>
      <vt:lpstr>innoven3_2018</vt:lpstr>
      <vt:lpstr>innoven3_2019</vt:lpstr>
      <vt:lpstr>innoven3_2020</vt:lpstr>
      <vt:lpstr>innoven3_2021</vt:lpstr>
      <vt:lpstr>innoven3_2022</vt:lpstr>
      <vt:lpstr>innoven3_2023</vt:lpstr>
      <vt:lpstr>investigadorsdones1_2017</vt:lpstr>
      <vt:lpstr>investigadorsdones1_2018</vt:lpstr>
      <vt:lpstr>investigadorsdones1_2019</vt:lpstr>
      <vt:lpstr>investigadorsdones1_2020</vt:lpstr>
      <vt:lpstr>investigadorsdones1_2021</vt:lpstr>
      <vt:lpstr>investigadorsdones1_2022</vt:lpstr>
      <vt:lpstr>investigadorsdones1_2023</vt:lpstr>
      <vt:lpstr>investigadorsdones2_2017</vt:lpstr>
      <vt:lpstr>investigadorsdones2_2018</vt:lpstr>
      <vt:lpstr>investigadorsdones2_2019</vt:lpstr>
      <vt:lpstr>investigadorsdones2_2020</vt:lpstr>
      <vt:lpstr>investigadorsdones2_2021</vt:lpstr>
      <vt:lpstr>investigadorsdones2_2022</vt:lpstr>
      <vt:lpstr>investigadorsdones2_2023</vt:lpstr>
      <vt:lpstr>investigadorsdones2017</vt:lpstr>
      <vt:lpstr>investigadorsdones2018</vt:lpstr>
      <vt:lpstr>investigadorsdones2019</vt:lpstr>
      <vt:lpstr>investigadorsdones2020</vt:lpstr>
      <vt:lpstr>investigadorsdones2021</vt:lpstr>
      <vt:lpstr>investigadorsdones2022</vt:lpstr>
      <vt:lpstr>investigadorsdones2023</vt:lpstr>
      <vt:lpstr>investigadorsdones3_2017</vt:lpstr>
      <vt:lpstr>investigadorsdones3_2018</vt:lpstr>
      <vt:lpstr>investigadorsdones3_2019</vt:lpstr>
      <vt:lpstr>investigadorsdones3_2020</vt:lpstr>
      <vt:lpstr>investigadorsdones3_2021</vt:lpstr>
      <vt:lpstr>investigadorsdones3_2022</vt:lpstr>
      <vt:lpstr>investigadorsdones3_2023</vt:lpstr>
      <vt:lpstr>investigadorsdonesprojecte1_2017</vt:lpstr>
      <vt:lpstr>investigadorsdonesprojecte1_2018</vt:lpstr>
      <vt:lpstr>investigadorsdonesprojecte1_2019</vt:lpstr>
      <vt:lpstr>investigadorsdonesprojecte1_2020</vt:lpstr>
      <vt:lpstr>investigadorsdonesprojecte1_2021</vt:lpstr>
      <vt:lpstr>investigadorsdonesprojecte1_2022</vt:lpstr>
      <vt:lpstr>investigadorsdonesprojecte1_2023</vt:lpstr>
      <vt:lpstr>investigadorsdonesprojecte2_2017</vt:lpstr>
      <vt:lpstr>investigadorsdonesprojecte2_2018</vt:lpstr>
      <vt:lpstr>investigadorsdonesprojecte2_2019</vt:lpstr>
      <vt:lpstr>investigadorsdonesprojecte2_2020</vt:lpstr>
      <vt:lpstr>investigadorsdonesprojecte2_2021</vt:lpstr>
      <vt:lpstr>investigadorsdonesprojecte2_2022</vt:lpstr>
      <vt:lpstr>investigadorsdonesprojecte2_2023</vt:lpstr>
      <vt:lpstr>investigadorsdonesprojecte2017</vt:lpstr>
      <vt:lpstr>investigadorsdonesprojecte2018</vt:lpstr>
      <vt:lpstr>investigadorsdonesprojecte2019</vt:lpstr>
      <vt:lpstr>investigadorsdonesprojecte2020</vt:lpstr>
      <vt:lpstr>investigadorsdonesprojecte2021</vt:lpstr>
      <vt:lpstr>investigadorsdonesprojecte2022</vt:lpstr>
      <vt:lpstr>investigadorsdonesprojecte2023</vt:lpstr>
      <vt:lpstr>investigadorsdonesprojecte3_2017</vt:lpstr>
      <vt:lpstr>investigadorsdonesprojecte3_2018</vt:lpstr>
      <vt:lpstr>investigadorsdonesprojecte3_2019</vt:lpstr>
      <vt:lpstr>investigadorsdonesprojecte3_2020</vt:lpstr>
      <vt:lpstr>investigadorsdonesprojecte3_2021</vt:lpstr>
      <vt:lpstr>investigadorsdonesprojecte3_2022</vt:lpstr>
      <vt:lpstr>investigadorsdonesprojecte3_2023</vt:lpstr>
      <vt:lpstr>investigadorshomes1_2017</vt:lpstr>
      <vt:lpstr>investigadorshomes1_2018</vt:lpstr>
      <vt:lpstr>investigadorshomes1_2019</vt:lpstr>
      <vt:lpstr>investigadorshomes1_2020</vt:lpstr>
      <vt:lpstr>investigadorshomes1_2021</vt:lpstr>
      <vt:lpstr>investigadorshomes1_2022</vt:lpstr>
      <vt:lpstr>investigadorshomes1_2023</vt:lpstr>
      <vt:lpstr>investigadorshomes2_2017</vt:lpstr>
      <vt:lpstr>investigadorshomes2_2018</vt:lpstr>
      <vt:lpstr>investigadorshomes2_2019</vt:lpstr>
      <vt:lpstr>investigadorshomes2_2020</vt:lpstr>
      <vt:lpstr>investigadorshomes2_2021</vt:lpstr>
      <vt:lpstr>investigadorshomes2_2022</vt:lpstr>
      <vt:lpstr>investigadorshomes2_2023</vt:lpstr>
      <vt:lpstr>investigadorshomes2017</vt:lpstr>
      <vt:lpstr>investigadorshomes2018</vt:lpstr>
      <vt:lpstr>investigadorshomes2019</vt:lpstr>
      <vt:lpstr>investigadorshomes2020</vt:lpstr>
      <vt:lpstr>investigadorshomes2021</vt:lpstr>
      <vt:lpstr>investigadorshomes2022</vt:lpstr>
      <vt:lpstr>investigadorshomes2023</vt:lpstr>
      <vt:lpstr>investigadorshomes3_2017</vt:lpstr>
      <vt:lpstr>investigadorshomes3_2018</vt:lpstr>
      <vt:lpstr>investigadorshomes3_2019</vt:lpstr>
      <vt:lpstr>investigadorshomes3_2020</vt:lpstr>
      <vt:lpstr>investigadorshomes3_2021</vt:lpstr>
      <vt:lpstr>investigadorshomes3_2022</vt:lpstr>
      <vt:lpstr>investigadorshomes3_2023</vt:lpstr>
      <vt:lpstr>investigadorshomesprojecte1_2017</vt:lpstr>
      <vt:lpstr>investigadorshomesprojecte1_2018</vt:lpstr>
      <vt:lpstr>investigadorshomesprojecte1_2019</vt:lpstr>
      <vt:lpstr>investigadorshomesprojecte1_2020</vt:lpstr>
      <vt:lpstr>investigadorshomesprojecte1_2021</vt:lpstr>
      <vt:lpstr>investigadorshomesprojecte1_2022</vt:lpstr>
      <vt:lpstr>investigadorshomesprojecte1_2023</vt:lpstr>
      <vt:lpstr>investigadorshomesprojecte2_2017</vt:lpstr>
      <vt:lpstr>investigadorshomesprojecte2_2018</vt:lpstr>
      <vt:lpstr>investigadorshomesprojecte2_2019</vt:lpstr>
      <vt:lpstr>investigadorshomesprojecte2_2020</vt:lpstr>
      <vt:lpstr>investigadorshomesprojecte2_2021</vt:lpstr>
      <vt:lpstr>investigadorshomesprojecte2_2022</vt:lpstr>
      <vt:lpstr>investigadorshomesprojecte2_2023</vt:lpstr>
      <vt:lpstr>investigadorshomesprojecte2017</vt:lpstr>
      <vt:lpstr>investigadorshomesprojecte2018</vt:lpstr>
      <vt:lpstr>investigadorshomesprojecte2019</vt:lpstr>
      <vt:lpstr>investigadorshomesprojecte2020</vt:lpstr>
      <vt:lpstr>investigadorshomesprojecte2021</vt:lpstr>
      <vt:lpstr>investigadorshomesprojecte2022</vt:lpstr>
      <vt:lpstr>investigadorshomesprojecte2023</vt:lpstr>
      <vt:lpstr>investigadorshomesprojecte3_2017</vt:lpstr>
      <vt:lpstr>investigadorshomesprojecte3_2018</vt:lpstr>
      <vt:lpstr>investigadorshomesprojecte3_2019</vt:lpstr>
      <vt:lpstr>investigadorshomesprojecte3_2020</vt:lpstr>
      <vt:lpstr>investigadorshomesprojecte3_2021</vt:lpstr>
      <vt:lpstr>investigadorshomesprojecte3_2022</vt:lpstr>
      <vt:lpstr>investigadorshomesprojecte3_2023</vt:lpstr>
      <vt:lpstr>investigadorstotal1_2017</vt:lpstr>
      <vt:lpstr>investigadorstotal1_2018</vt:lpstr>
      <vt:lpstr>investigadorstotal1_2019</vt:lpstr>
      <vt:lpstr>investigadorstotal1_2020</vt:lpstr>
      <vt:lpstr>investigadorstotal1_2021</vt:lpstr>
      <vt:lpstr>investigadorstotal1_2022</vt:lpstr>
      <vt:lpstr>investigadorstotal1_2023</vt:lpstr>
      <vt:lpstr>investigadorstotal2_2017</vt:lpstr>
      <vt:lpstr>investigadorstotal2_2018</vt:lpstr>
      <vt:lpstr>investigadorstotal2_2019</vt:lpstr>
      <vt:lpstr>investigadorstotal2_2020</vt:lpstr>
      <vt:lpstr>investigadorstotal2_2021</vt:lpstr>
      <vt:lpstr>investigadorstotal2_2022</vt:lpstr>
      <vt:lpstr>investigadorstotal2_2023</vt:lpstr>
      <vt:lpstr>investigadorstotal2017</vt:lpstr>
      <vt:lpstr>investigadorstotal2018</vt:lpstr>
      <vt:lpstr>investigadorstotal2019</vt:lpstr>
      <vt:lpstr>investigadorstotal2020</vt:lpstr>
      <vt:lpstr>investigadorstotal2021</vt:lpstr>
      <vt:lpstr>investigadorstotal2022</vt:lpstr>
      <vt:lpstr>investigadorstotal2023</vt:lpstr>
      <vt:lpstr>investigadorstotal3_2017</vt:lpstr>
      <vt:lpstr>investigadorstotal3_2018</vt:lpstr>
      <vt:lpstr>investigadorstotal3_2019</vt:lpstr>
      <vt:lpstr>investigadorstotal3_2020</vt:lpstr>
      <vt:lpstr>investigadorstotal3_2021</vt:lpstr>
      <vt:lpstr>investigadorstotal3_2022</vt:lpstr>
      <vt:lpstr>investigadorstotal3_2023</vt:lpstr>
      <vt:lpstr>investigadorstotalprojecte1_2017</vt:lpstr>
      <vt:lpstr>investigadorstotalprojecte1_2018</vt:lpstr>
      <vt:lpstr>investigadorstotalprojecte1_2019</vt:lpstr>
      <vt:lpstr>investigadorstotalprojecte1_2020</vt:lpstr>
      <vt:lpstr>investigadorstotalprojecte1_2021</vt:lpstr>
      <vt:lpstr>investigadorstotalprojecte1_2022</vt:lpstr>
      <vt:lpstr>investigadorstotalprojecte1_2023</vt:lpstr>
      <vt:lpstr>investigadorstotalprojecte2_2017</vt:lpstr>
      <vt:lpstr>investigadorstotalprojecte2_2018</vt:lpstr>
      <vt:lpstr>investigadorstotalprojecte2_2019</vt:lpstr>
      <vt:lpstr>investigadorstotalprojecte2_2020</vt:lpstr>
      <vt:lpstr>investigadorstotalprojecte2_2021</vt:lpstr>
      <vt:lpstr>investigadorstotalprojecte2_2022</vt:lpstr>
      <vt:lpstr>investigadorstotalprojecte2_2023</vt:lpstr>
      <vt:lpstr>investigadorstotalprojecte2017</vt:lpstr>
      <vt:lpstr>investigadorstotalprojecte2018</vt:lpstr>
      <vt:lpstr>investigadorstotalprojecte2019</vt:lpstr>
      <vt:lpstr>investigadorstotalprojecte2020</vt:lpstr>
      <vt:lpstr>investigadorstotalprojecte2021</vt:lpstr>
      <vt:lpstr>investigadorstotalprojecte2022</vt:lpstr>
      <vt:lpstr>investigadorstotalprojecte2023</vt:lpstr>
      <vt:lpstr>investigadorstotalprojecte3_2017</vt:lpstr>
      <vt:lpstr>investigadorstotalprojecte3_2018</vt:lpstr>
      <vt:lpstr>investigadorstotalprojecte3_2019</vt:lpstr>
      <vt:lpstr>investigadorstotalprojecte3_2020</vt:lpstr>
      <vt:lpstr>investigadorstotalprojecte3_2021</vt:lpstr>
      <vt:lpstr>investigadorstotalprojecte3_2022</vt:lpstr>
      <vt:lpstr>investigadorstotalprojecte3_2023</vt:lpstr>
      <vt:lpstr>iprivada1_2017</vt:lpstr>
      <vt:lpstr>iprivada1_2018</vt:lpstr>
      <vt:lpstr>iprivada1_2019</vt:lpstr>
      <vt:lpstr>iprivada1_2020</vt:lpstr>
      <vt:lpstr>iprivada1_2021</vt:lpstr>
      <vt:lpstr>iprivada1_2022</vt:lpstr>
      <vt:lpstr>iprivada1_2023</vt:lpstr>
      <vt:lpstr>iprivada2_2017</vt:lpstr>
      <vt:lpstr>iprivada2_2018</vt:lpstr>
      <vt:lpstr>iprivada2_2019</vt:lpstr>
      <vt:lpstr>iprivada2_2020</vt:lpstr>
      <vt:lpstr>iprivada2_2021</vt:lpstr>
      <vt:lpstr>iprivada2_2022</vt:lpstr>
      <vt:lpstr>iprivada2_2023</vt:lpstr>
      <vt:lpstr>iprivada2017</vt:lpstr>
      <vt:lpstr>iprivada2018</vt:lpstr>
      <vt:lpstr>iprivada2019</vt:lpstr>
      <vt:lpstr>iprivada2020</vt:lpstr>
      <vt:lpstr>iprivada2021</vt:lpstr>
      <vt:lpstr>iprivada2022</vt:lpstr>
      <vt:lpstr>iprivada2023</vt:lpstr>
      <vt:lpstr>iprivada3_2017</vt:lpstr>
      <vt:lpstr>iprivada3_2018</vt:lpstr>
      <vt:lpstr>iprivada3_2019</vt:lpstr>
      <vt:lpstr>iprivada3_2020</vt:lpstr>
      <vt:lpstr>iprivada3_2021</vt:lpstr>
      <vt:lpstr>iprivada3_2022</vt:lpstr>
      <vt:lpstr>iprivada3_2023</vt:lpstr>
      <vt:lpstr>iprivadaipublica1_2017</vt:lpstr>
      <vt:lpstr>iprivadaipublica1_2018</vt:lpstr>
      <vt:lpstr>iprivadaipublica1_2019</vt:lpstr>
      <vt:lpstr>iprivadaipublica1_2020</vt:lpstr>
      <vt:lpstr>iprivadaipublica1_2021</vt:lpstr>
      <vt:lpstr>iprivadaipublica1_2022</vt:lpstr>
      <vt:lpstr>iprivadaipublica1_2023</vt:lpstr>
      <vt:lpstr>iprivadaipublica2_2017</vt:lpstr>
      <vt:lpstr>iprivadaipublica2_2018</vt:lpstr>
      <vt:lpstr>iprivadaipublica2_2019</vt:lpstr>
      <vt:lpstr>iprivadaipublica2_2020</vt:lpstr>
      <vt:lpstr>iprivadaipublica2_2021</vt:lpstr>
      <vt:lpstr>iprivadaipublica2_2022</vt:lpstr>
      <vt:lpstr>iprivadaipublica2_2023</vt:lpstr>
      <vt:lpstr>iprivadaipublica2017</vt:lpstr>
      <vt:lpstr>iprivadaipublica2018</vt:lpstr>
      <vt:lpstr>iprivadaipublica2019</vt:lpstr>
      <vt:lpstr>iprivadaipublica2020</vt:lpstr>
      <vt:lpstr>iprivadaipublica2021</vt:lpstr>
      <vt:lpstr>iprivadaipublica2022</vt:lpstr>
      <vt:lpstr>iprivadaipublica2023</vt:lpstr>
      <vt:lpstr>iprivadaipublica3_2017</vt:lpstr>
      <vt:lpstr>iprivadaipublica3_2018</vt:lpstr>
      <vt:lpstr>iprivadaipublica3_2019</vt:lpstr>
      <vt:lpstr>iprivadaipublica3_2020</vt:lpstr>
      <vt:lpstr>iprivadaipublica3_2021</vt:lpstr>
      <vt:lpstr>iprivadaipublica3_2022</vt:lpstr>
      <vt:lpstr>iprivadaipublica3_2023</vt:lpstr>
      <vt:lpstr>ipublica1_2017</vt:lpstr>
      <vt:lpstr>ipublica1_2018</vt:lpstr>
      <vt:lpstr>ipublica1_2019</vt:lpstr>
      <vt:lpstr>ipublica1_2020</vt:lpstr>
      <vt:lpstr>ipublica1_2021</vt:lpstr>
      <vt:lpstr>ipublica1_2022</vt:lpstr>
      <vt:lpstr>ipublica1_2023</vt:lpstr>
      <vt:lpstr>ipublica2_2017</vt:lpstr>
      <vt:lpstr>ipublica2_2018</vt:lpstr>
      <vt:lpstr>ipublica2_2019</vt:lpstr>
      <vt:lpstr>ipublica2_2020</vt:lpstr>
      <vt:lpstr>ipublica2_2021</vt:lpstr>
      <vt:lpstr>ipublica2_2022</vt:lpstr>
      <vt:lpstr>ipublica2_2023</vt:lpstr>
      <vt:lpstr>ipublica2017</vt:lpstr>
      <vt:lpstr>ipublica2018</vt:lpstr>
      <vt:lpstr>ipublica2019</vt:lpstr>
      <vt:lpstr>ipublica2020</vt:lpstr>
      <vt:lpstr>ipublica2021</vt:lpstr>
      <vt:lpstr>ipublica2022</vt:lpstr>
      <vt:lpstr>ipublica2023</vt:lpstr>
      <vt:lpstr>ipublica3_2017</vt:lpstr>
      <vt:lpstr>ipublica3_2018</vt:lpstr>
      <vt:lpstr>ipublica3_2019</vt:lpstr>
      <vt:lpstr>ipublica3_2020</vt:lpstr>
      <vt:lpstr>ipublica3_2021</vt:lpstr>
      <vt:lpstr>ipublica3_2022</vt:lpstr>
      <vt:lpstr>ipublica3_2023</vt:lpstr>
      <vt:lpstr>justificacio</vt:lpstr>
      <vt:lpstr>llocsdetreball1_2017</vt:lpstr>
      <vt:lpstr>llocsdetreball1_2018</vt:lpstr>
      <vt:lpstr>llocsdetreball1_2019</vt:lpstr>
      <vt:lpstr>llocsdetreball1_2020</vt:lpstr>
      <vt:lpstr>llocsdetreball1_2021</vt:lpstr>
      <vt:lpstr>llocsdetreball1_2022</vt:lpstr>
      <vt:lpstr>llocsdetreball1_2023</vt:lpstr>
      <vt:lpstr>llocsdetreball2_2017</vt:lpstr>
      <vt:lpstr>llocsdetreball2_2018</vt:lpstr>
      <vt:lpstr>llocsdetreball2_2019</vt:lpstr>
      <vt:lpstr>llocsdetreball2_2020</vt:lpstr>
      <vt:lpstr>llocsdetreball2_2021</vt:lpstr>
      <vt:lpstr>llocsdetreball2_2022</vt:lpstr>
      <vt:lpstr>llocsdetreball2_2023</vt:lpstr>
      <vt:lpstr>llocsdetreball2017</vt:lpstr>
      <vt:lpstr>llocsdetreball2018</vt:lpstr>
      <vt:lpstr>llocsdetreball2019</vt:lpstr>
      <vt:lpstr>llocsdetreball2020</vt:lpstr>
      <vt:lpstr>llocsdetreball2021</vt:lpstr>
      <vt:lpstr>llocsdetreball2022</vt:lpstr>
      <vt:lpstr>llocsdetreball2023</vt:lpstr>
      <vt:lpstr>llocsdetreball3_2017</vt:lpstr>
      <vt:lpstr>llocsdetreball3_2018</vt:lpstr>
      <vt:lpstr>llocsdetreball3_2019</vt:lpstr>
      <vt:lpstr>llocsdetreball3_2020</vt:lpstr>
      <vt:lpstr>llocsdetreball3_2021</vt:lpstr>
      <vt:lpstr>llocsdetreball3_2022</vt:lpstr>
      <vt:lpstr>llocsdetreball3_2023</vt:lpstr>
      <vt:lpstr>marques1_2017</vt:lpstr>
      <vt:lpstr>marques1_2018</vt:lpstr>
      <vt:lpstr>marques1_2019</vt:lpstr>
      <vt:lpstr>marques1_2020</vt:lpstr>
      <vt:lpstr>marques1_2021</vt:lpstr>
      <vt:lpstr>marques1_2022</vt:lpstr>
      <vt:lpstr>marques1_2023</vt:lpstr>
      <vt:lpstr>marques2_2017</vt:lpstr>
      <vt:lpstr>marques2_2018</vt:lpstr>
      <vt:lpstr>marques2_2019</vt:lpstr>
      <vt:lpstr>marques2_2020</vt:lpstr>
      <vt:lpstr>marques2_2021</vt:lpstr>
      <vt:lpstr>marques2_2022</vt:lpstr>
      <vt:lpstr>marques2_2023</vt:lpstr>
      <vt:lpstr>marques2017</vt:lpstr>
      <vt:lpstr>marques2018</vt:lpstr>
      <vt:lpstr>marques2019</vt:lpstr>
      <vt:lpstr>marques2020</vt:lpstr>
      <vt:lpstr>marques2021</vt:lpstr>
      <vt:lpstr>marques2022</vt:lpstr>
      <vt:lpstr>marques2023</vt:lpstr>
      <vt:lpstr>marques3_2017</vt:lpstr>
      <vt:lpstr>marques3_2018</vt:lpstr>
      <vt:lpstr>marques3_2019</vt:lpstr>
      <vt:lpstr>marques3_2020</vt:lpstr>
      <vt:lpstr>marques3_2021</vt:lpstr>
      <vt:lpstr>marques3_2022</vt:lpstr>
      <vt:lpstr>marques3_2023</vt:lpstr>
      <vt:lpstr>nif_1</vt:lpstr>
      <vt:lpstr>nif_2</vt:lpstr>
      <vt:lpstr>nif_3</vt:lpstr>
      <vt:lpstr>nif_4</vt:lpstr>
      <vt:lpstr>nomemp1</vt:lpstr>
      <vt:lpstr>nomemp2</vt:lpstr>
      <vt:lpstr>nomemp3</vt:lpstr>
      <vt:lpstr>nomemp4</vt:lpstr>
      <vt:lpstr>oportunitats1_2017</vt:lpstr>
      <vt:lpstr>oportunitats1_2018</vt:lpstr>
      <vt:lpstr>oportunitats1_2019</vt:lpstr>
      <vt:lpstr>oportunitats1_2020</vt:lpstr>
      <vt:lpstr>oportunitats1_2021</vt:lpstr>
      <vt:lpstr>oportunitats1_2022</vt:lpstr>
      <vt:lpstr>oportunitats1_2023</vt:lpstr>
      <vt:lpstr>oportunitats2_2017</vt:lpstr>
      <vt:lpstr>oportunitats2_2018</vt:lpstr>
      <vt:lpstr>oportunitats2_2019</vt:lpstr>
      <vt:lpstr>oportunitats2_2020</vt:lpstr>
      <vt:lpstr>oportunitats2_2021</vt:lpstr>
      <vt:lpstr>oportunitats2_2022</vt:lpstr>
      <vt:lpstr>oportunitats2_2023</vt:lpstr>
      <vt:lpstr>oportunitats2017</vt:lpstr>
      <vt:lpstr>oportunitats2018</vt:lpstr>
      <vt:lpstr>oportunitats2019</vt:lpstr>
      <vt:lpstr>oportunitats2020</vt:lpstr>
      <vt:lpstr>oportunitats2021</vt:lpstr>
      <vt:lpstr>oportunitats2022</vt:lpstr>
      <vt:lpstr>oportunitats2023</vt:lpstr>
      <vt:lpstr>oportunitats3_2017</vt:lpstr>
      <vt:lpstr>oportunitats3_2018</vt:lpstr>
      <vt:lpstr>oportunitats3_2019</vt:lpstr>
      <vt:lpstr>oportunitats3_2020</vt:lpstr>
      <vt:lpstr>oportunitats3_2021</vt:lpstr>
      <vt:lpstr>oportunitats3_2022</vt:lpstr>
      <vt:lpstr>oportunitats3_2023</vt:lpstr>
      <vt:lpstr>patents1_2017</vt:lpstr>
      <vt:lpstr>patents1_2018</vt:lpstr>
      <vt:lpstr>patents1_2019</vt:lpstr>
      <vt:lpstr>patents1_2020</vt:lpstr>
      <vt:lpstr>patents1_2021</vt:lpstr>
      <vt:lpstr>patents1_2022</vt:lpstr>
      <vt:lpstr>patents1_2023</vt:lpstr>
      <vt:lpstr>patents2_2017</vt:lpstr>
      <vt:lpstr>patents2_2018</vt:lpstr>
      <vt:lpstr>patents2_2019</vt:lpstr>
      <vt:lpstr>patents2_2020</vt:lpstr>
      <vt:lpstr>patents2_2021</vt:lpstr>
      <vt:lpstr>patents2_2022</vt:lpstr>
      <vt:lpstr>patents2_2023</vt:lpstr>
      <vt:lpstr>patents2017</vt:lpstr>
      <vt:lpstr>patents2018</vt:lpstr>
      <vt:lpstr>patents2019</vt:lpstr>
      <vt:lpstr>patents2020</vt:lpstr>
      <vt:lpstr>patents2021</vt:lpstr>
      <vt:lpstr>patents2022</vt:lpstr>
      <vt:lpstr>patents2023</vt:lpstr>
      <vt:lpstr>patents3_2017</vt:lpstr>
      <vt:lpstr>patents3_2018</vt:lpstr>
      <vt:lpstr>patents3_2019</vt:lpstr>
      <vt:lpstr>patents3_2020</vt:lpstr>
      <vt:lpstr>patents3_2021</vt:lpstr>
      <vt:lpstr>patents3_2022</vt:lpstr>
      <vt:lpstr>patents3_2023</vt:lpstr>
      <vt:lpstr>productivitat1_2017</vt:lpstr>
      <vt:lpstr>productivitat1_2018</vt:lpstr>
      <vt:lpstr>productivitat1_2019</vt:lpstr>
      <vt:lpstr>productivitat1_2020</vt:lpstr>
      <vt:lpstr>productivitat1_2021</vt:lpstr>
      <vt:lpstr>productivitat1_2022</vt:lpstr>
      <vt:lpstr>productivitat1_2023</vt:lpstr>
      <vt:lpstr>productivitat2_2017</vt:lpstr>
      <vt:lpstr>productivitat2_2018</vt:lpstr>
      <vt:lpstr>productivitat2_2019</vt:lpstr>
      <vt:lpstr>productivitat2_2020</vt:lpstr>
      <vt:lpstr>productivitat2_2021</vt:lpstr>
      <vt:lpstr>productivitat2_2022</vt:lpstr>
      <vt:lpstr>productivitat2_2023</vt:lpstr>
      <vt:lpstr>productivitat2017</vt:lpstr>
      <vt:lpstr>productivitat2018</vt:lpstr>
      <vt:lpstr>productivitat2019</vt:lpstr>
      <vt:lpstr>productivitat2020</vt:lpstr>
      <vt:lpstr>productivitat2021</vt:lpstr>
      <vt:lpstr>productivitat2022</vt:lpstr>
      <vt:lpstr>productivitat2023</vt:lpstr>
      <vt:lpstr>productivitat3_2017</vt:lpstr>
      <vt:lpstr>productivitat3_2018</vt:lpstr>
      <vt:lpstr>productivitat3_2019</vt:lpstr>
      <vt:lpstr>productivitat3_2020</vt:lpstr>
      <vt:lpstr>productivitat3_2021</vt:lpstr>
      <vt:lpstr>productivitat3_2022</vt:lpstr>
      <vt:lpstr>productivitat3_2023</vt:lpstr>
      <vt:lpstr>residus1_2017</vt:lpstr>
      <vt:lpstr>residus1_2018</vt:lpstr>
      <vt:lpstr>residus1_2019</vt:lpstr>
      <vt:lpstr>residus1_2020</vt:lpstr>
      <vt:lpstr>residus1_2021</vt:lpstr>
      <vt:lpstr>residus1_2022</vt:lpstr>
      <vt:lpstr>residus1_2023</vt:lpstr>
      <vt:lpstr>residus2_2017</vt:lpstr>
      <vt:lpstr>residus2_2018</vt:lpstr>
      <vt:lpstr>residus2_2019</vt:lpstr>
      <vt:lpstr>residus2_2020</vt:lpstr>
      <vt:lpstr>residus2_2021</vt:lpstr>
      <vt:lpstr>residus2_2022</vt:lpstr>
      <vt:lpstr>residus2_2023</vt:lpstr>
      <vt:lpstr>residus2017</vt:lpstr>
      <vt:lpstr>residus2018</vt:lpstr>
      <vt:lpstr>residus2019</vt:lpstr>
      <vt:lpstr>residus2020</vt:lpstr>
      <vt:lpstr>residus2021</vt:lpstr>
      <vt:lpstr>residus2022</vt:lpstr>
      <vt:lpstr>residus2023</vt:lpstr>
      <vt:lpstr>residus3_2017</vt:lpstr>
      <vt:lpstr>residus3_2018</vt:lpstr>
      <vt:lpstr>residus3_2019</vt:lpstr>
      <vt:lpstr>residus3_2020</vt:lpstr>
      <vt:lpstr>residus3_2021</vt:lpstr>
      <vt:lpstr>residus3_2022</vt:lpstr>
      <vt:lpstr>residus3_2023</vt:lpstr>
      <vt:lpstr>spinoff1_2017</vt:lpstr>
      <vt:lpstr>spinoff1_2018</vt:lpstr>
      <vt:lpstr>spinoff1_2019</vt:lpstr>
      <vt:lpstr>spinoff1_2020</vt:lpstr>
      <vt:lpstr>spinoff1_2021</vt:lpstr>
      <vt:lpstr>spinoff1_2022</vt:lpstr>
      <vt:lpstr>spinoff1_2023</vt:lpstr>
      <vt:lpstr>spinoff1_2024</vt:lpstr>
      <vt:lpstr>spinoff2_2017</vt:lpstr>
      <vt:lpstr>spinoff2_2018</vt:lpstr>
      <vt:lpstr>spinoff2_2019</vt:lpstr>
      <vt:lpstr>spinoff2_2020</vt:lpstr>
      <vt:lpstr>spinoff2_2021</vt:lpstr>
      <vt:lpstr>spinoff2_2022</vt:lpstr>
      <vt:lpstr>spinoff2_2023</vt:lpstr>
      <vt:lpstr>spinoff2017</vt:lpstr>
      <vt:lpstr>spinoff2018</vt:lpstr>
      <vt:lpstr>spinoff2019</vt:lpstr>
      <vt:lpstr>spinoff2020</vt:lpstr>
      <vt:lpstr>spinoff2021</vt:lpstr>
      <vt:lpstr>spinoff2022</vt:lpstr>
      <vt:lpstr>spinoff2023</vt:lpstr>
      <vt:lpstr>spinoff3_2017</vt:lpstr>
      <vt:lpstr>spinoff3_2018</vt:lpstr>
      <vt:lpstr>spinoff3_2019</vt:lpstr>
      <vt:lpstr>spinoff3_2020</vt:lpstr>
      <vt:lpstr>spinoff3_2021</vt:lpstr>
      <vt:lpstr>spinoff3_2022</vt:lpstr>
      <vt:lpstr>spinoff3_2023</vt:lpstr>
      <vt:lpstr>subvencions1_2017</vt:lpstr>
      <vt:lpstr>subvencions1_2018</vt:lpstr>
      <vt:lpstr>subvencions1_2019</vt:lpstr>
      <vt:lpstr>subvencions1_2020</vt:lpstr>
      <vt:lpstr>subvencions1_2021</vt:lpstr>
      <vt:lpstr>subvencions1_2022</vt:lpstr>
      <vt:lpstr>subvencions1_2023</vt:lpstr>
      <vt:lpstr>subvencions2_2017</vt:lpstr>
      <vt:lpstr>subvencions2_2018</vt:lpstr>
      <vt:lpstr>subvencions2_2019</vt:lpstr>
      <vt:lpstr>subvencions2_2020</vt:lpstr>
      <vt:lpstr>subvencions2_2021</vt:lpstr>
      <vt:lpstr>subvencions2_2022</vt:lpstr>
      <vt:lpstr>subvencions2_2023</vt:lpstr>
      <vt:lpstr>subvencions2017</vt:lpstr>
      <vt:lpstr>subvencions2018</vt:lpstr>
      <vt:lpstr>subvencions2019</vt:lpstr>
      <vt:lpstr>subvencions2020</vt:lpstr>
      <vt:lpstr>subvencions2021</vt:lpstr>
      <vt:lpstr>subvencions2022</vt:lpstr>
      <vt:lpstr>subvencions2023</vt:lpstr>
      <vt:lpstr>subvencions3_2017</vt:lpstr>
      <vt:lpstr>subvencions3_2018</vt:lpstr>
      <vt:lpstr>subvencions3_2019</vt:lpstr>
      <vt:lpstr>subvencions3_2020</vt:lpstr>
      <vt:lpstr>subvencions3_2021</vt:lpstr>
      <vt:lpstr>subvencions3_2022</vt:lpstr>
      <vt:lpstr>subvencions3_2023</vt:lpstr>
      <vt:lpstr>universitats1_2017</vt:lpstr>
      <vt:lpstr>universitats1_2018</vt:lpstr>
      <vt:lpstr>universitats1_2019</vt:lpstr>
      <vt:lpstr>universitats1_2020</vt:lpstr>
      <vt:lpstr>universitats1_2021</vt:lpstr>
      <vt:lpstr>universitats1_2022</vt:lpstr>
      <vt:lpstr>universitats1_2023</vt:lpstr>
      <vt:lpstr>universitats2_2017</vt:lpstr>
      <vt:lpstr>universitats2_2018</vt:lpstr>
      <vt:lpstr>universitats2_2019</vt:lpstr>
      <vt:lpstr>universitats2_2020</vt:lpstr>
      <vt:lpstr>universitats2_2021</vt:lpstr>
      <vt:lpstr>universitats2_2022</vt:lpstr>
      <vt:lpstr>universitats2_2023</vt:lpstr>
      <vt:lpstr>universitats2017</vt:lpstr>
      <vt:lpstr>universitats2018</vt:lpstr>
      <vt:lpstr>universitats2019</vt:lpstr>
      <vt:lpstr>universitats2020</vt:lpstr>
      <vt:lpstr>universitats2021</vt:lpstr>
      <vt:lpstr>universitats2022</vt:lpstr>
      <vt:lpstr>universitats2023</vt:lpstr>
      <vt:lpstr>universitats3_2017</vt:lpstr>
      <vt:lpstr>universitats3_2018</vt:lpstr>
      <vt:lpstr>universitats3_2019</vt:lpstr>
      <vt:lpstr>universitats3_2020</vt:lpstr>
      <vt:lpstr>universitats3_2021</vt:lpstr>
      <vt:lpstr>universitats3_2022</vt:lpstr>
      <vt:lpstr>universitats3_2023</vt:lpstr>
    </vt:vector>
  </TitlesOfParts>
  <Company>ACCIÓ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Mireia Raurell</dc:creator>
  <cp:lastModifiedBy>Mireia Raurell</cp:lastModifiedBy>
  <cp:lastPrinted>2018-02-20T09:12:58Z</cp:lastPrinted>
  <dcterms:created xsi:type="dcterms:W3CDTF">2018-02-05T08:56:26Z</dcterms:created>
  <dcterms:modified xsi:type="dcterms:W3CDTF">2018-11-06T09:05:20Z</dcterms:modified>
</cp:coreProperties>
</file>