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Escriptori\ACCIO\2018\"/>
    </mc:Choice>
  </mc:AlternateContent>
  <xr:revisionPtr revIDLastSave="0" documentId="13_ncr:1_{56615D3B-9485-429D-A690-66AB576E7229}" xr6:coauthVersionLast="44" xr6:coauthVersionMax="44" xr10:uidLastSave="{00000000-0000-0000-0000-000000000000}"/>
  <bookViews>
    <workbookView xWindow="-120" yWindow="-120" windowWidth="20730" windowHeight="11310" tabRatio="659" xr2:uid="{00000000-000D-0000-FFFF-FFFF00000000}"/>
  </bookViews>
  <sheets>
    <sheet name="Sol·licitant" sheetId="21" r:id="rId1"/>
    <sheet name="Participant 1" sheetId="2" r:id="rId2"/>
    <sheet name="Participant 2" sheetId="3" r:id="rId3"/>
    <sheet name="Participant 3" sheetId="4" r:id="rId4"/>
    <sheet name="Participant 4" sheetId="10" r:id="rId5"/>
    <sheet name="Participant 5" sheetId="13" r:id="rId6"/>
    <sheet name="Participant 6" sheetId="15" r:id="rId7"/>
    <sheet name="Participant 7" sheetId="16" r:id="rId8"/>
    <sheet name="Participant 8" sheetId="17" r:id="rId9"/>
    <sheet name="Participant 9 " sheetId="18" r:id="rId10"/>
    <sheet name="Participant 10" sheetId="19" r:id="rId11"/>
    <sheet name="Participant 11" sheetId="20" r:id="rId12"/>
    <sheet name="Sitges " sheetId="5" state="hidden" r:id="rId13"/>
  </sheets>
  <definedNames>
    <definedName name="aigua1_2016">Sol·licitant!$E$51</definedName>
    <definedName name="aigua1_2017">'Participant 1'!$F$50</definedName>
    <definedName name="aigua1_2018">'Participant 1'!$G$50</definedName>
    <definedName name="aigua1_2019">'Participant 1'!$H$50</definedName>
    <definedName name="aigua1_2020">'Participant 1'!$I$50</definedName>
    <definedName name="aigua1_2021">'Participant 1'!$J$50</definedName>
    <definedName name="aigua1_2022">'Participant 1'!$K$50</definedName>
    <definedName name="aigua1_2023">'Participant 1'!$L$50</definedName>
    <definedName name="aigua10_2016">'Participant 10'!$E$50</definedName>
    <definedName name="aigua10_2017">'Participant 10'!$F$50</definedName>
    <definedName name="aigua10_2018">'Participant 10'!$G$50</definedName>
    <definedName name="aigua10_2019">'Participant 10'!$H$50</definedName>
    <definedName name="aigua10_2020">'Participant 10'!$I$50</definedName>
    <definedName name="aigua10_2021">'Participant 10'!$J$50</definedName>
    <definedName name="aigua10_2022">'Participant 10'!$K$50</definedName>
    <definedName name="aigua10_2023">'Participant 10'!$L$50</definedName>
    <definedName name="aigua11_2016">'Participant 11'!$E$50</definedName>
    <definedName name="aigua11_2017">'Participant 11'!$F$50</definedName>
    <definedName name="aigua11_2018">'Participant 11'!$G$50</definedName>
    <definedName name="aigua11_2019">'Participant 11'!$H$50</definedName>
    <definedName name="aigua11_2020">'Participant 11'!$I$50</definedName>
    <definedName name="aigua11_2021">'Participant 11'!$J$50</definedName>
    <definedName name="aigua11_2022">'Participant 11'!$K$50</definedName>
    <definedName name="aigua11_2023">'Participant 11'!$L$50</definedName>
    <definedName name="aigua2_2016">'Participant 2'!$E$50</definedName>
    <definedName name="aigua2_2017">'Participant 2'!$F$50</definedName>
    <definedName name="aigua2_2018">'Participant 2'!$G$50</definedName>
    <definedName name="aigua2_2019">'Participant 2'!$H$50</definedName>
    <definedName name="aigua2_2020">'Participant 2'!$I$50</definedName>
    <definedName name="aigua2_2021">'Participant 2'!$J$50</definedName>
    <definedName name="aigua2_2022">'Participant 2'!$K$50</definedName>
    <definedName name="aigua2_2023">'Participant 2'!$L$50</definedName>
    <definedName name="aigua2016">'Participant 1'!$E$50</definedName>
    <definedName name="aigua2017">Sol·licitant!$F$51</definedName>
    <definedName name="aigua2018">Sol·licitant!$G$51</definedName>
    <definedName name="aigua2019">Sol·licitant!$H$51</definedName>
    <definedName name="aigua2020">Sol·licitant!$I$51</definedName>
    <definedName name="aigua2021">Sol·licitant!$J$51</definedName>
    <definedName name="aigua2022">Sol·licitant!$K$51</definedName>
    <definedName name="aigua2023">Sol·licitant!$L$51</definedName>
    <definedName name="aigua3_2016">'Participant 3'!$E$50</definedName>
    <definedName name="aigua3_2017">'Participant 3'!$F$50</definedName>
    <definedName name="aigua3_2018">'Participant 3'!$G$50</definedName>
    <definedName name="aigua3_2019">'Participant 3'!$H$50</definedName>
    <definedName name="aigua3_2020">'Participant 3'!$I$50</definedName>
    <definedName name="aigua3_2021">'Participant 3'!$J$50</definedName>
    <definedName name="aigua3_2022">'Participant 3'!$K$50</definedName>
    <definedName name="aigua3_2023">'Participant 3'!$L$50</definedName>
    <definedName name="aigua4_2016">'Participant 4'!$E$50</definedName>
    <definedName name="aigua4_2017">'Participant 4'!$F$50</definedName>
    <definedName name="aigua4_2018">'Participant 4'!$G$50</definedName>
    <definedName name="aigua4_2019">'Participant 4'!$H$50</definedName>
    <definedName name="aigua4_2020">'Participant 4'!$I$50</definedName>
    <definedName name="aigua4_2021">'Participant 4'!$J$50</definedName>
    <definedName name="aigua4_2022">'Participant 4'!$K$50</definedName>
    <definedName name="aigua4_2023">'Participant 4'!$L$50</definedName>
    <definedName name="aigua5_2016">'Participant 5'!$E$50</definedName>
    <definedName name="aigua5_2017">'Participant 5'!$F$50</definedName>
    <definedName name="aigua5_2018">'Participant 5'!$G$50</definedName>
    <definedName name="aigua5_2019">'Participant 5'!$H$50</definedName>
    <definedName name="aigua5_2020">'Participant 5'!$I$50</definedName>
    <definedName name="aigua5_2021">'Participant 5'!$J$50</definedName>
    <definedName name="aigua5_2022">'Participant 5'!$K$50</definedName>
    <definedName name="aigua5_2023">'Participant 5'!$L$50</definedName>
    <definedName name="aigua6_2016">'Participant 6'!$E$50</definedName>
    <definedName name="aigua6_2017">'Participant 6'!$F$50</definedName>
    <definedName name="aigua6_2018">'Participant 6'!$G$50</definedName>
    <definedName name="aigua6_2019">'Participant 6'!$H$50</definedName>
    <definedName name="aigua6_2020">'Participant 6'!$I$50</definedName>
    <definedName name="aigua6_2021">'Participant 6'!$J$50</definedName>
    <definedName name="aigua6_2022">'Participant 6'!$K$50</definedName>
    <definedName name="aigua6_2023">'Participant 6'!$L$50</definedName>
    <definedName name="aigua7_2016">'Participant 7'!$E$50</definedName>
    <definedName name="aigua7_2017">'Participant 7'!$F$50</definedName>
    <definedName name="aigua7_2018">'Participant 7'!$G$50</definedName>
    <definedName name="aigua7_2019">'Participant 7'!$H$50</definedName>
    <definedName name="aigua7_2020">'Participant 7'!$I$50</definedName>
    <definedName name="aigua7_2021">'Participant 7'!$J$50</definedName>
    <definedName name="aigua7_2022">'Participant 7'!$K$50</definedName>
    <definedName name="aigua7_2023">'Participant 7'!$L$50</definedName>
    <definedName name="aigua8_2016">'Participant 8'!$E$50</definedName>
    <definedName name="aigua8_2017">'Participant 8'!$F$50</definedName>
    <definedName name="aigua8_2018">'Participant 8'!$G$50</definedName>
    <definedName name="aigua8_2019">'Participant 8'!$H$50</definedName>
    <definedName name="aigua8_2020">'Participant 8'!$I$50</definedName>
    <definedName name="aigua8_2021">'Participant 8'!$J$50</definedName>
    <definedName name="aigua8_2022">'Participant 8'!$K$50</definedName>
    <definedName name="aigua8_2023">'Participant 8'!$L$50</definedName>
    <definedName name="aigua9_2016">'Participant 9 '!$E$50</definedName>
    <definedName name="aigua9_2017">'Participant 9 '!$F$50</definedName>
    <definedName name="aigua9_2018">'Participant 9 '!$G$50</definedName>
    <definedName name="aigua9_2019">'Participant 9 '!$H$50</definedName>
    <definedName name="aigua9_2020">'Participant 9 '!$I$50</definedName>
    <definedName name="aigua9_2021">'Participant 9 '!$J$50</definedName>
    <definedName name="aigua9_2022">'Participant 9 '!$K$50</definedName>
    <definedName name="aigua9_2023">'Participant 9 '!$L$50</definedName>
    <definedName name="ajdues11_2016">'Participant 11'!$E$12</definedName>
    <definedName name="ajudes1_2016">Sol·licitant!$E$13</definedName>
    <definedName name="ajudes1_2017">'Participant 1'!$F$12</definedName>
    <definedName name="ajudes1_2018">'Participant 1'!$G$12</definedName>
    <definedName name="ajudes1_2019">'Participant 1'!$H$12</definedName>
    <definedName name="ajudes1_2020">'Participant 1'!$I$12</definedName>
    <definedName name="ajudes1_2021">'Participant 1'!$J$12</definedName>
    <definedName name="ajudes1_2022">'Participant 1'!$K$12</definedName>
    <definedName name="ajudes1_2023">'Participant 1'!$L$12</definedName>
    <definedName name="ajudes10_2016">'Participant 10'!$E$12</definedName>
    <definedName name="ajudes10_2017">'Participant 10'!$F$12</definedName>
    <definedName name="ajudes10_2018">'Participant 10'!$G$12</definedName>
    <definedName name="ajudes10_2019">'Participant 10'!$H$12</definedName>
    <definedName name="ajudes10_2020">'Participant 10'!$I$12</definedName>
    <definedName name="ajudes10_2021">'Participant 10'!$J$12</definedName>
    <definedName name="ajudes10_2022">'Participant 10'!$K$12</definedName>
    <definedName name="ajudes10_2023">'Participant 10'!$L$12</definedName>
    <definedName name="ajudes11_2017">'Participant 11'!$F$12</definedName>
    <definedName name="ajudes11_2018">'Participant 11'!$G$12</definedName>
    <definedName name="ajudes11_2019">'Participant 11'!$H$12</definedName>
    <definedName name="ajudes11_2020">'Participant 11'!$I$12</definedName>
    <definedName name="ajudes11_2021">'Participant 11'!$J$12</definedName>
    <definedName name="ajudes11_2022">'Participant 11'!$K$12</definedName>
    <definedName name="ajudes11_2023">'Participant 11'!$L$12</definedName>
    <definedName name="ajudes2_2016">'Participant 2'!$E$12</definedName>
    <definedName name="ajudes2_2017">'Participant 2'!$F$12</definedName>
    <definedName name="ajudes2_2018">'Participant 2'!$G$12</definedName>
    <definedName name="ajudes2_2019">'Participant 2'!$H$12</definedName>
    <definedName name="ajudes2_2020">'Participant 2'!$I$12</definedName>
    <definedName name="ajudes2_2021">'Participant 2'!$J$12</definedName>
    <definedName name="ajudes2_2022">'Participant 2'!$K$12</definedName>
    <definedName name="ajudes2_2023">'Participant 2'!$L$12</definedName>
    <definedName name="ajudes2016">'Participant 1'!$E$12</definedName>
    <definedName name="ajudes2017">Sol·licitant!$F$13</definedName>
    <definedName name="ajudes2018">Sol·licitant!$G$13</definedName>
    <definedName name="ajudes2019">Sol·licitant!$H$13</definedName>
    <definedName name="ajudes2020">Sol·licitant!$I$13</definedName>
    <definedName name="ajudes2021">Sol·licitant!$J$13</definedName>
    <definedName name="ajudes2022">Sol·licitant!$K$13</definedName>
    <definedName name="ajudes2023">Sol·licitant!$L$13</definedName>
    <definedName name="ajudes3_2016">'Participant 3'!$E$12</definedName>
    <definedName name="ajudes3_2017">'Participant 3'!$F$12</definedName>
    <definedName name="ajudes3_2018">'Participant 3'!$G$12</definedName>
    <definedName name="ajudes3_2019">'Participant 3'!$H$12</definedName>
    <definedName name="ajudes3_2020">'Participant 3'!$I$12</definedName>
    <definedName name="ajudes3_2021">'Participant 3'!$J$12</definedName>
    <definedName name="ajudes3_2022">'Participant 3'!$K$12</definedName>
    <definedName name="ajudes3_2023">'Participant 3'!$L$12</definedName>
    <definedName name="ajudes4_2016">'Participant 4'!$E$12</definedName>
    <definedName name="ajudes4_2017">'Participant 4'!$F$12</definedName>
    <definedName name="ajudes4_2018">'Participant 4'!$G$12</definedName>
    <definedName name="ajudes4_2019">'Participant 4'!$H$12</definedName>
    <definedName name="ajudes4_2020">'Participant 4'!$I$12</definedName>
    <definedName name="ajudes4_2021">'Participant 4'!$J$12</definedName>
    <definedName name="ajudes4_2022">'Participant 4'!$K$12</definedName>
    <definedName name="ajudes4_2023">'Participant 4'!$L$12</definedName>
    <definedName name="ajudes5_2016">'Participant 5'!$E$12</definedName>
    <definedName name="ajudes5_2017">'Participant 5'!$F$12</definedName>
    <definedName name="ajudes5_2018">'Participant 5'!$G$12</definedName>
    <definedName name="ajudes5_2019">'Participant 5'!$H$12</definedName>
    <definedName name="ajudes5_2020">'Participant 5'!$I$12</definedName>
    <definedName name="ajudes5_2021">'Participant 5'!$J$12</definedName>
    <definedName name="ajudes5_2022">'Participant 5'!$K$12</definedName>
    <definedName name="ajudes5_2023">'Participant 5'!$L$12</definedName>
    <definedName name="ajudes6_2016">'Participant 6'!$E$12</definedName>
    <definedName name="ajudes6_2017">'Participant 6'!$F$12</definedName>
    <definedName name="ajudes6_2018">'Participant 6'!$G$12</definedName>
    <definedName name="ajudes6_2019">'Participant 6'!$H$12</definedName>
    <definedName name="ajudes6_2020">'Participant 6'!$I$12</definedName>
    <definedName name="ajudes6_2021">'Participant 6'!$J$12</definedName>
    <definedName name="ajudes6_2022">'Participant 6'!$K$12</definedName>
    <definedName name="ajudes6_2023">'Participant 6'!$L$12</definedName>
    <definedName name="ajudes7_2016">'Participant 7'!$E$12</definedName>
    <definedName name="ajudes7_2017">'Participant 7'!$F$12</definedName>
    <definedName name="ajudes7_2018">'Participant 7'!$G$12</definedName>
    <definedName name="ajudes7_2019">'Participant 7'!$H$12</definedName>
    <definedName name="ajudes7_2020">'Participant 7'!$I$12</definedName>
    <definedName name="ajudes7_2021">'Participant 7'!$J$12</definedName>
    <definedName name="ajudes7_2022">'Participant 7'!$K$12</definedName>
    <definedName name="ajudes7_2023">'Participant 7'!$L$12</definedName>
    <definedName name="ajudes8_2016">'Participant 8'!$E$12</definedName>
    <definedName name="ajudes8_2017">'Participant 8'!$F$12</definedName>
    <definedName name="ajudes8_2018">'Participant 8'!$G$12</definedName>
    <definedName name="ajudes8_2019">'Participant 8'!$H$12</definedName>
    <definedName name="ajudes8_2020">'Participant 8'!$I$12</definedName>
    <definedName name="ajudes8_2021">'Participant 8'!$J$12</definedName>
    <definedName name="ajudes8_2022">'Participant 8'!$K$12</definedName>
    <definedName name="ajudes8_2023">'Participant 8'!$L$12</definedName>
    <definedName name="ajudes9_2016">'Participant 9 '!$E$12</definedName>
    <definedName name="ajudes9_2017">'Participant 9 '!$F$12</definedName>
    <definedName name="ajudes9_2018">'Participant 9 '!$G$12</definedName>
    <definedName name="ajudes9_2019">'Participant 9 '!$H$12</definedName>
    <definedName name="ajudes9_2020">'Participant 9 '!$I$12</definedName>
    <definedName name="ajudes9_2021">'Participant 9 '!$J$12</definedName>
    <definedName name="ajudes9_2022">'Participant 9 '!$K$12</definedName>
    <definedName name="ajudes9_2023">'Participant 9 '!$L$12</definedName>
    <definedName name="_xlnm.Print_Area" localSheetId="3">'Participant 3'!$A$1:$L$53</definedName>
    <definedName name="centresderecerca1_2016">Sol·licitant!$E$39</definedName>
    <definedName name="centresderecerca10_2016">'Participant 10'!$E$38</definedName>
    <definedName name="centresderecerca11_2016">'Participant 11'!$E$38</definedName>
    <definedName name="centresderecerca2_2016">'Participant 2'!$E$38</definedName>
    <definedName name="centresderecerca3_2016">'Participant 3'!$E$38</definedName>
    <definedName name="centresderecerca4_2016">'Participant 4'!$E$38</definedName>
    <definedName name="centresderecerca5_2016">'Participant 5'!$E$38</definedName>
    <definedName name="centresderecerca6_2016">'Participant 6'!$E$38</definedName>
    <definedName name="centresderecerca7_2016">'Participant 7'!$E$38</definedName>
    <definedName name="centresderecerca8_2016">'Participant 8'!$E$38</definedName>
    <definedName name="centresderecerca9_2016">'Participant 9 '!$E$38</definedName>
    <definedName name="centresrecerca1_2017">'Participant 1'!$F$38</definedName>
    <definedName name="centresrecerca1_2018">'Participant 1'!$G$38</definedName>
    <definedName name="centresrecerca1_2019">'Participant 1'!$H$38</definedName>
    <definedName name="centresrecerca1_2020">'Participant 1'!$I$38</definedName>
    <definedName name="centresrecerca1_2021">'Participant 1'!$J$38</definedName>
    <definedName name="centresrecerca1_2022">'Participant 1'!$K$38</definedName>
    <definedName name="centresrecerca1_2023">'Participant 1'!$L$38</definedName>
    <definedName name="centresrecerca10_2017">'Participant 10'!$F$38</definedName>
    <definedName name="centresrecerca10_2018">'Participant 10'!$G$38</definedName>
    <definedName name="centresrecerca10_2019">'Participant 10'!$H$38</definedName>
    <definedName name="centresrecerca10_2020">'Participant 10'!$I$38</definedName>
    <definedName name="centresrecerca10_2021">'Participant 10'!$J$38</definedName>
    <definedName name="centresrecerca10_2022">'Participant 10'!$K$38</definedName>
    <definedName name="centresrecerca10_2023">'Participant 10'!$L$38</definedName>
    <definedName name="centresrecerca11_2017">'Participant 11'!$F$38</definedName>
    <definedName name="centresrecerca11_2018">'Participant 11'!$G$38</definedName>
    <definedName name="centresrecerca11_2019">'Participant 11'!$H$38</definedName>
    <definedName name="centresrecerca11_2020">'Participant 11'!$I$38</definedName>
    <definedName name="centresrecerca11_2021">'Participant 11'!$J$38</definedName>
    <definedName name="centresrecerca11_2022">'Participant 11'!$K$38</definedName>
    <definedName name="centresrecerca11_2023">'Participant 11'!$L$38</definedName>
    <definedName name="centresrecerca2_2017">'Participant 2'!$F$38</definedName>
    <definedName name="centresrecerca2_2018">'Participant 2'!$G$38</definedName>
    <definedName name="centresrecerca2_2019">'Participant 2'!$H$38</definedName>
    <definedName name="centresrecerca2_2020">'Participant 2'!$I$38</definedName>
    <definedName name="centresrecerca2_2021">'Participant 2'!$J$38</definedName>
    <definedName name="centresrecerca2_2022">'Participant 2'!$K$38</definedName>
    <definedName name="centresrecerca2_2023">'Participant 2'!$L$38</definedName>
    <definedName name="centresrecerca2016">'Participant 1'!$E$38</definedName>
    <definedName name="centresrecerca2017">Sol·licitant!$F$39</definedName>
    <definedName name="centresrecerca2018">Sol·licitant!$G$39</definedName>
    <definedName name="centresrecerca2019">Sol·licitant!$H$39</definedName>
    <definedName name="centresrecerca2020">Sol·licitant!$I$39</definedName>
    <definedName name="centresrecerca2021">Sol·licitant!$J$39</definedName>
    <definedName name="centresrecerca2022">Sol·licitant!$K$39</definedName>
    <definedName name="centresrecerca2023">Sol·licitant!$L$39</definedName>
    <definedName name="centresrecerca3_2017">'Participant 3'!$F$38</definedName>
    <definedName name="centresrecerca3_2018">'Participant 3'!$G$38</definedName>
    <definedName name="centresrecerca3_2019">'Participant 3'!$H$38</definedName>
    <definedName name="centresrecerca3_2020">'Participant 3'!$I$38</definedName>
    <definedName name="centresrecerca3_2021">'Participant 3'!$J$38</definedName>
    <definedName name="centresrecerca3_2022">'Participant 3'!$K$38</definedName>
    <definedName name="centresrecerca3_2023">'Participant 3'!$L$38</definedName>
    <definedName name="centresrecerca4_2017">'Participant 4'!$F$38</definedName>
    <definedName name="centresrecerca4_2018">'Participant 4'!$G$38</definedName>
    <definedName name="centresrecerca4_2019">'Participant 4'!$H$38</definedName>
    <definedName name="centresrecerca4_2020">'Participant 4'!$I$38</definedName>
    <definedName name="centresrecerca4_2021">'Participant 4'!$J$38</definedName>
    <definedName name="centresrecerca4_2022">'Participant 4'!$K$38</definedName>
    <definedName name="centresrecerca4_2023">'Participant 4'!$L$38</definedName>
    <definedName name="centresrecerca5_2017">'Participant 5'!$F$38</definedName>
    <definedName name="centresrecerca5_2018">'Participant 5'!$G$38</definedName>
    <definedName name="centresrecerca5_2019">'Participant 5'!$H$38</definedName>
    <definedName name="centresrecerca5_2020">'Participant 5'!$I$38</definedName>
    <definedName name="centresrecerca5_2021">'Participant 5'!$J$38</definedName>
    <definedName name="centresrecerca5_2022">'Participant 5'!$K$38</definedName>
    <definedName name="centresrecerca5_2023">'Participant 5'!$L$38</definedName>
    <definedName name="centresrecerca6_2017">'Participant 6'!$F$38</definedName>
    <definedName name="centresrecerca6_2018">'Participant 6'!$G$38</definedName>
    <definedName name="centresrecerca6_2019">'Participant 6'!$H$38</definedName>
    <definedName name="centresrecerca6_2020">'Participant 6'!$I$38</definedName>
    <definedName name="centresrecerca6_2021">'Participant 6'!$J$38</definedName>
    <definedName name="centresrecerca6_2022">'Participant 6'!$K$38</definedName>
    <definedName name="centresrecerca6_2023">'Participant 6'!$L$38</definedName>
    <definedName name="centresrecerca7_2017">'Participant 7'!$F$38</definedName>
    <definedName name="centresrecerca7_2018">'Participant 7'!$G$38</definedName>
    <definedName name="centresrecerca7_2019">'Participant 7'!$H$38</definedName>
    <definedName name="centresrecerca7_2020">'Participant 7'!$I$38</definedName>
    <definedName name="centresrecerca7_2021">'Participant 7'!$J$38</definedName>
    <definedName name="centresrecerca7_2022">'Participant 7'!$K$38</definedName>
    <definedName name="centresrecerca7_2023">'Participant 7'!$L$38</definedName>
    <definedName name="centresrecerca8_2017">'Participant 8'!$F$38</definedName>
    <definedName name="centresrecerca8_2018">'Participant 8'!$G$38</definedName>
    <definedName name="centresrecerca8_2019">'Participant 8'!$H$38</definedName>
    <definedName name="centresrecerca8_2020">'Participant 8'!$I$38</definedName>
    <definedName name="centresrecerca8_2021">'Participant 8'!$J$38</definedName>
    <definedName name="centresrecerca8_2022">'Participant 8'!$K$38</definedName>
    <definedName name="centresrecerca8_2023">'Participant 8'!$L$38</definedName>
    <definedName name="centresrecerca9_2017">'Participant 9 '!$F$38</definedName>
    <definedName name="centresrecerca9_2018">'Participant 9 '!$G$38</definedName>
    <definedName name="centresrecerca9_2019">'Participant 9 '!$H$38</definedName>
    <definedName name="centresrecerca9_2020">'Participant 9 '!$I$38</definedName>
    <definedName name="centresrecerca9_2021">'Participant 9 '!$J$38</definedName>
    <definedName name="centresrecerca9_2022">'Participant 9 '!$K$38</definedName>
    <definedName name="centresrecerca9_2023">'Participant 9 '!$L$38</definedName>
    <definedName name="centrestecnologics1_2016">Sol·licitant!$E$37</definedName>
    <definedName name="centrestecnologics1_2017">'Participant 1'!$F$36</definedName>
    <definedName name="centrestecnologics1_2018">'Participant 1'!$G$36</definedName>
    <definedName name="centrestecnologics1_2019">'Participant 1'!$H$36</definedName>
    <definedName name="centrestecnologics1_2020">'Participant 1'!$I$36</definedName>
    <definedName name="centrestecnologics1_2021">'Participant 1'!$J$36</definedName>
    <definedName name="centrestecnologics1_2022">'Participant 1'!$K$36</definedName>
    <definedName name="centrestecnologics1_2023">'Participant 1'!$L$36</definedName>
    <definedName name="centrestecnologics10_2016">'Participant 10'!$E$36</definedName>
    <definedName name="centrestecnologics10_2017">'Participant 10'!$F$36</definedName>
    <definedName name="centrestecnologics10_2018">'Participant 10'!$G$36</definedName>
    <definedName name="centrestecnologics10_2019">'Participant 10'!$H$36</definedName>
    <definedName name="centrestecnologics10_2020">'Participant 10'!$I$36</definedName>
    <definedName name="centrestecnologics10_2021">'Participant 10'!$J$36</definedName>
    <definedName name="centrestecnologics10_2022">'Participant 10'!$K$36</definedName>
    <definedName name="centrestecnologics10_2023">'Participant 10'!$L$36</definedName>
    <definedName name="centrestecnologics11_2016">'Participant 11'!$E$36</definedName>
    <definedName name="centrestecnologics11_2017">'Participant 11'!$F$36</definedName>
    <definedName name="centrestecnologics11_2018">'Participant 11'!$G$36</definedName>
    <definedName name="centrestecnologics11_2019">'Participant 11'!$H$36</definedName>
    <definedName name="centrestecnologics11_2020">'Participant 11'!$I$36</definedName>
    <definedName name="centrestecnologics11_2021">'Participant 11'!$J$36</definedName>
    <definedName name="centrestecnologics11_2022">'Participant 11'!$K$36</definedName>
    <definedName name="centrestecnologics11_2023">'Participant 11'!$L$36</definedName>
    <definedName name="centrestecnologics2_2016">'Participant 2'!$E$36</definedName>
    <definedName name="centrestecnologics2_2017">'Participant 2'!$F$36</definedName>
    <definedName name="centrestecnologics2_2018">'Participant 2'!$G$36</definedName>
    <definedName name="centrestecnologics2_2019">'Participant 2'!$H$36</definedName>
    <definedName name="centrestecnologics2_2020">'Participant 2'!$I$36</definedName>
    <definedName name="centrestecnologics2_2021">'Participant 2'!$J$36</definedName>
    <definedName name="centrestecnologics2_2022">'Participant 2'!$K$36</definedName>
    <definedName name="centrestecnologics2_2023">'Participant 2'!$L$36</definedName>
    <definedName name="centrestecnologics2016">'Participant 1'!$E$36</definedName>
    <definedName name="centrestecnologics2017">Sol·licitant!$F$37</definedName>
    <definedName name="centrestecnologics2018">Sol·licitant!$G$37</definedName>
    <definedName name="centrestecnologics2019">Sol·licitant!$H$37</definedName>
    <definedName name="centrestecnologics2020">Sol·licitant!$I$37</definedName>
    <definedName name="centrestecnologics2021">Sol·licitant!$J$37</definedName>
    <definedName name="centrestecnologics2022">Sol·licitant!$K$37</definedName>
    <definedName name="centrestecnologics2023">Sol·licitant!$L$37</definedName>
    <definedName name="centrestecnologics3_2016">'Participant 3'!$E$36</definedName>
    <definedName name="centrestecnologics3_2017">'Participant 3'!$F$36</definedName>
    <definedName name="centrestecnologics3_2018">'Participant 3'!$G$36</definedName>
    <definedName name="centrestecnologics3_2019">'Participant 3'!$H$36</definedName>
    <definedName name="centrestecnologics3_2020">'Participant 3'!$I$36</definedName>
    <definedName name="centrestecnologics3_2021">'Participant 3'!$J$36</definedName>
    <definedName name="centrestecnologics3_2022">'Participant 3'!$K$36</definedName>
    <definedName name="centrestecnologics3_2023">'Participant 3'!$L$36</definedName>
    <definedName name="centrestecnologics4_2016">'Participant 4'!$E$36</definedName>
    <definedName name="centrestecnologics4_2017">'Participant 4'!$F$36</definedName>
    <definedName name="centrestecnologics4_2018">'Participant 4'!$G$36</definedName>
    <definedName name="centrestecnologics4_2019">'Participant 4'!$H$36</definedName>
    <definedName name="centrestecnologics4_2020">'Participant 4'!$I$36</definedName>
    <definedName name="centrestecnologics4_2021">'Participant 4'!$J$36</definedName>
    <definedName name="centrestecnologics4_2022">'Participant 4'!$K$36</definedName>
    <definedName name="centrestecnologics4_2023">'Participant 4'!$L$36</definedName>
    <definedName name="centrestecnologics5_2016">'Participant 5'!$E$36</definedName>
    <definedName name="centrestecnologics5_2017">'Participant 5'!$F$36</definedName>
    <definedName name="centrestecnologics5_2018">'Participant 5'!$G$36</definedName>
    <definedName name="centrestecnologics5_2019">'Participant 5'!$H$36</definedName>
    <definedName name="centrestecnologics5_2020">'Participant 5'!$I$36</definedName>
    <definedName name="centrestecnologics5_2021">'Participant 5'!$J$36</definedName>
    <definedName name="centrestecnologics5_2022">'Participant 5'!$K$36</definedName>
    <definedName name="centrestecnologics5_2023">'Participant 5'!$L$36</definedName>
    <definedName name="centrestecnologics6_2016">'Participant 6'!$E$36</definedName>
    <definedName name="centrestecnologics6_2017">'Participant 6'!$F$36</definedName>
    <definedName name="centrestecnologics6_2018">'Participant 6'!$G$36</definedName>
    <definedName name="centrestecnologics6_2019">'Participant 6'!$H$36</definedName>
    <definedName name="centrestecnologics6_2020">'Participant 6'!$I$36</definedName>
    <definedName name="centrestecnologics6_2021">'Participant 6'!$J$36</definedName>
    <definedName name="centrestecnologics6_2022">'Participant 6'!$K$36</definedName>
    <definedName name="centrestecnologics6_2023">'Participant 6'!$L$36</definedName>
    <definedName name="centrestecnologics7_2016">'Participant 7'!$E$36</definedName>
    <definedName name="centrestecnologics7_2017">'Participant 7'!$F$36</definedName>
    <definedName name="centrestecnologics7_2018">'Participant 7'!$G$36</definedName>
    <definedName name="centrestecnologics7_2019">'Participant 7'!$H$36</definedName>
    <definedName name="centrestecnologics7_2020">'Participant 7'!$I$36</definedName>
    <definedName name="centrestecnologics7_2021">'Participant 7'!$J$36</definedName>
    <definedName name="centrestecnologics7_2022">'Participant 7'!$K$36</definedName>
    <definedName name="centrestecnologics7_2023">'Participant 7'!$L$36</definedName>
    <definedName name="centrestecnologics8_2016">'Participant 8'!$E$36</definedName>
    <definedName name="centrestecnologics8_2017">'Participant 8'!$F$36</definedName>
    <definedName name="centrestecnologics8_2018">'Participant 8'!$G$36</definedName>
    <definedName name="centrestecnologics8_2019">'Participant 8'!$H$36</definedName>
    <definedName name="centrestecnologics8_2020">'Participant 8'!$I$36</definedName>
    <definedName name="centrestecnologics8_2021">'Participant 8'!$J$36</definedName>
    <definedName name="centrestecnologics8_2022">'Participant 8'!$K$36</definedName>
    <definedName name="centrestecnologics8_2023">'Participant 8'!$L$36</definedName>
    <definedName name="centrestecnologics9_2016">'Participant 9 '!$E$36</definedName>
    <definedName name="centrestecnologics9_2017">'Participant 9 '!$F$36</definedName>
    <definedName name="centrestecnologics9_2018">'Participant 9 '!$G$36</definedName>
    <definedName name="centrestecnologics9_2019">'Participant 9 '!$H$36</definedName>
    <definedName name="centrestecnologics9_2020">'Participant 9 '!$I$36</definedName>
    <definedName name="centrestecnologics9_2021">'Participant 9 '!$J$36</definedName>
    <definedName name="centrestecnologics9_2022">'Participant 9 '!$K$36</definedName>
    <definedName name="centrestecnologics9_2023">'Participant 9 '!$L$36</definedName>
    <definedName name="certificacio1_2016">Sol·licitant!$E$27</definedName>
    <definedName name="certificacio1_2017">'Participant 1'!$F$26</definedName>
    <definedName name="certificacio1_2018">'Participant 1'!$G$26</definedName>
    <definedName name="certificacio1_2019">'Participant 1'!$H$26</definedName>
    <definedName name="certificacio1_2020">'Participant 1'!$I$26</definedName>
    <definedName name="certificacio1_2021">'Participant 1'!$J$26</definedName>
    <definedName name="certificacio1_2022">'Participant 1'!$K$26</definedName>
    <definedName name="certificacio1_2023">'Participant 1'!$L$26</definedName>
    <definedName name="certificacio10_2016">'Participant 10'!$E$26</definedName>
    <definedName name="certificacio10_2017">'Participant 10'!$F$26</definedName>
    <definedName name="certificacio10_2018">'Participant 10'!$G$26</definedName>
    <definedName name="certificacio10_2019">'Participant 10'!$H$26</definedName>
    <definedName name="certificacio10_2020">'Participant 10'!$I$26</definedName>
    <definedName name="certificacio10_2021">'Participant 10'!$J$26</definedName>
    <definedName name="certificacio10_2022">'Participant 10'!$K$26</definedName>
    <definedName name="certificacio10_2023">'Participant 10'!$L$26</definedName>
    <definedName name="certificacio11_2016">'Participant 11'!$E$26</definedName>
    <definedName name="certificacio11_2017">'Participant 11'!$F$26</definedName>
    <definedName name="certificacio11_2018">'Participant 11'!$G$26</definedName>
    <definedName name="certificacio11_2019">'Participant 11'!$H$26</definedName>
    <definedName name="certificacio11_2020">'Participant 11'!$I$26</definedName>
    <definedName name="certificacio11_2021">'Participant 11'!$J$26</definedName>
    <definedName name="certificacio11_2022">'Participant 11'!$K$26</definedName>
    <definedName name="certificacio11_2023">'Participant 11'!$L$26</definedName>
    <definedName name="certificacio2_2016">'Participant 2'!$E$26</definedName>
    <definedName name="certificacio2_2017">'Participant 2'!$F$26</definedName>
    <definedName name="certificacio2_2018">'Participant 2'!$G$26</definedName>
    <definedName name="certificacio2_2019">'Participant 2'!$H$26</definedName>
    <definedName name="certificacio2_2020">'Participant 2'!$I$26</definedName>
    <definedName name="certificacio2_2021">'Participant 2'!$J$26</definedName>
    <definedName name="certificacio2_2022">'Participant 2'!$K$26</definedName>
    <definedName name="certificacio2_2023">'Participant 2'!$L$26</definedName>
    <definedName name="certificacio2016">'Participant 1'!$E$26</definedName>
    <definedName name="certificacio2017">Sol·licitant!$F$27</definedName>
    <definedName name="certificacio2018">Sol·licitant!$G$27</definedName>
    <definedName name="certificacio2019">Sol·licitant!$H$27</definedName>
    <definedName name="certificacio2020">Sol·licitant!$I$27</definedName>
    <definedName name="certificacio2021">Sol·licitant!$J$27</definedName>
    <definedName name="certificacio2022">Sol·licitant!$K$27</definedName>
    <definedName name="certificacio2023">Sol·licitant!$L$27</definedName>
    <definedName name="certificacio3_2016">'Participant 3'!$E$26</definedName>
    <definedName name="certificacio3_2017">'Participant 3'!$F$26</definedName>
    <definedName name="certificacio3_2018">'Participant 3'!$G$26</definedName>
    <definedName name="certificacio3_2019">'Participant 3'!$H$26</definedName>
    <definedName name="certificacio3_2020">'Participant 3'!$I$26</definedName>
    <definedName name="certificacio3_2021">'Participant 3'!$J$26</definedName>
    <definedName name="certificacio3_2022">'Participant 3'!$K$26</definedName>
    <definedName name="certificacio3_2023">'Participant 3'!$L$26</definedName>
    <definedName name="certificacio4_2016">'Participant 4'!$E$26</definedName>
    <definedName name="certificacio4_2017">'Participant 4'!$F$26</definedName>
    <definedName name="certificacio4_2018">'Participant 4'!$G$26</definedName>
    <definedName name="certificacio4_2019">'Participant 4'!$H$26</definedName>
    <definedName name="certificacio4_2020">'Participant 4'!$I$26</definedName>
    <definedName name="certificacio4_2021">'Participant 4'!$J$26</definedName>
    <definedName name="certificacio4_2022">'Participant 4'!$K$26</definedName>
    <definedName name="certificacio4_2023">'Participant 4'!$L$26</definedName>
    <definedName name="certificacio5_2016">'Participant 5'!$E$26</definedName>
    <definedName name="certificacio5_2017">'Participant 5'!$F$26</definedName>
    <definedName name="certificacio5_2018">'Participant 5'!$G$26</definedName>
    <definedName name="certificacio5_2019">'Participant 5'!$H$26</definedName>
    <definedName name="certificacio5_2020">'Participant 5'!$I$26</definedName>
    <definedName name="certificacio5_2021">'Participant 5'!$J$26</definedName>
    <definedName name="certificacio5_2022">'Participant 5'!$K$26</definedName>
    <definedName name="certificacio5_2023">'Participant 5'!$L$26</definedName>
    <definedName name="certificacio6_2016">'Participant 6'!$E$26</definedName>
    <definedName name="certificacio6_2017">'Participant 6'!$F$26</definedName>
    <definedName name="certificacio6_2018">'Participant 6'!$G$26</definedName>
    <definedName name="certificacio6_2019">'Participant 6'!$H$26</definedName>
    <definedName name="certificacio6_2020">'Participant 6'!$I$26</definedName>
    <definedName name="certificacio6_2021">'Participant 6'!$J$26</definedName>
    <definedName name="certificacio6_2022">'Participant 6'!$K$26</definedName>
    <definedName name="certificacio6_2023">'Participant 6'!$L$26</definedName>
    <definedName name="certificacio7_2016">'Participant 7'!$E$26</definedName>
    <definedName name="certificacio7_2017">'Participant 7'!$F$26</definedName>
    <definedName name="certificacio7_2018">'Participant 7'!$G$26</definedName>
    <definedName name="certificacio7_2019">'Participant 7'!$H$26</definedName>
    <definedName name="certificacio7_2020">'Participant 7'!$I$26</definedName>
    <definedName name="certificacio7_2021">'Participant 7'!$J$26</definedName>
    <definedName name="certificacio7_2022">'Participant 7'!$K$26</definedName>
    <definedName name="certificacio7_2023">'Participant 7'!$L$26</definedName>
    <definedName name="certificacio8_2016">'Participant 8'!$E$26</definedName>
    <definedName name="certificacio8_2017">'Participant 8'!$F$26</definedName>
    <definedName name="certificacio8_2018">'Participant 8'!$G$26</definedName>
    <definedName name="certificacio8_2019">'Participant 8'!$H$26</definedName>
    <definedName name="certificacio8_2020">'Participant 8'!$I$26</definedName>
    <definedName name="certificacio8_2021">'Participant 8'!$J$26</definedName>
    <definedName name="certificacio8_2022">'Participant 8'!$K$26</definedName>
    <definedName name="certificacio8_2023">'Participant 8'!$L$26</definedName>
    <definedName name="certificacio9_2016">'Participant 9 '!$E$26</definedName>
    <definedName name="certificacio9_2017">'Participant 9 '!$F$26</definedName>
    <definedName name="certificacio9_2018">'Participant 9 '!$G$26</definedName>
    <definedName name="certificacio9_2019">'Participant 9 '!$H$26</definedName>
    <definedName name="certificacio9_2020">'Participant 9 '!$I$26</definedName>
    <definedName name="certificacio9_2021">'Participant 9 '!$J$26</definedName>
    <definedName name="certificacio9_2022">'Participant 9 '!$K$26</definedName>
    <definedName name="certificacio9_2023">'Participant 9 '!$L$26</definedName>
    <definedName name="codiexp">Sol·licitant!#REF!</definedName>
    <definedName name="codiexp1">Sol·licitant!$C$5</definedName>
    <definedName name="codiexp2" localSheetId="10">#REF!</definedName>
    <definedName name="codiexp2" localSheetId="11">#REF!</definedName>
    <definedName name="codiexp2" localSheetId="5">#REF!</definedName>
    <definedName name="codiexp2" localSheetId="6">#REF!</definedName>
    <definedName name="codiexp2" localSheetId="7">#REF!</definedName>
    <definedName name="codiexp2" localSheetId="9">#REF!</definedName>
    <definedName name="codiexp2">#REF!</definedName>
    <definedName name="codiexp3" localSheetId="10">#REF!</definedName>
    <definedName name="codiexp3" localSheetId="11">#REF!</definedName>
    <definedName name="codiexp3" localSheetId="5">#REF!</definedName>
    <definedName name="codiexp3" localSheetId="6">#REF!</definedName>
    <definedName name="codiexp3" localSheetId="7">#REF!</definedName>
    <definedName name="codiexp3" localSheetId="9">#REF!</definedName>
    <definedName name="codiexp3">#REF!</definedName>
    <definedName name="codiexp4" localSheetId="10">#REF!</definedName>
    <definedName name="codiexp4" localSheetId="11">#REF!</definedName>
    <definedName name="codiexp4" localSheetId="5">#REF!</definedName>
    <definedName name="codiexp4" localSheetId="6">#REF!</definedName>
    <definedName name="codiexp4" localSheetId="7">#REF!</definedName>
    <definedName name="codiexp4" localSheetId="9">#REF!</definedName>
    <definedName name="codiexp4">#REF!</definedName>
    <definedName name="codiparticipant00">Sol·licitant!$C$6</definedName>
    <definedName name="codiparticipant1">'Participant 1'!$C$6</definedName>
    <definedName name="codiparticipant10">'Participant 10'!$C$6</definedName>
    <definedName name="codiparticipant11">'Participant 11'!$C$6</definedName>
    <definedName name="codiparticipant2">'Participant 2'!$C$6</definedName>
    <definedName name="codiparticipant3">'Participant 3'!$C$6</definedName>
    <definedName name="codiparticipant4">'Participant 4'!$C$6</definedName>
    <definedName name="codiparticipant5">'Participant 5'!$C$6</definedName>
    <definedName name="codiparticipant6" localSheetId="7">#REF!</definedName>
    <definedName name="codiparticipant6">'Participant 6'!$C$6</definedName>
    <definedName name="codiparticipant7">'Participant 7'!$C$6</definedName>
    <definedName name="codiparticipant8">'Participant 8'!$C$6</definedName>
    <definedName name="codiparticipant9">'Participant 9 '!$C$6</definedName>
    <definedName name="copera1_2016">Sol·licitant!$E$19</definedName>
    <definedName name="copera1_2017">'Participant 1'!$F$18</definedName>
    <definedName name="copera1_2018">'Participant 1'!$G$18</definedName>
    <definedName name="copera1_2019">'Participant 1'!$H$18</definedName>
    <definedName name="copera1_2020">'Participant 1'!$I$18</definedName>
    <definedName name="copera1_2021">'Participant 1'!$J$18</definedName>
    <definedName name="copera1_2022">'Participant 1'!$K$18</definedName>
    <definedName name="copera1_2023">'Participant 1'!$L$18</definedName>
    <definedName name="copera10_2016">'Participant 10'!$E$18</definedName>
    <definedName name="copera10_2017">'Participant 10'!$F$18</definedName>
    <definedName name="copera10_2018">'Participant 10'!$G$18</definedName>
    <definedName name="copera10_2019">'Participant 10'!$H$18</definedName>
    <definedName name="copera10_2020">'Participant 10'!$I$18</definedName>
    <definedName name="copera10_2021">'Participant 10'!$J$18</definedName>
    <definedName name="copera10_2022">'Participant 10'!$K$18</definedName>
    <definedName name="copera10_2023">'Participant 10'!$L$18</definedName>
    <definedName name="copera11_2016">'Participant 11'!$E$18</definedName>
    <definedName name="copera11_2017">'Participant 11'!$F$18</definedName>
    <definedName name="copera11_2018">'Participant 11'!$G$18</definedName>
    <definedName name="copera11_2019">'Participant 11'!$H$18</definedName>
    <definedName name="copera11_2020">'Participant 11'!$I$18</definedName>
    <definedName name="copera11_2021">'Participant 11'!$J$18</definedName>
    <definedName name="copera11_2022">'Participant 11'!$K$18</definedName>
    <definedName name="copera11_2023">'Participant 11'!$L$18</definedName>
    <definedName name="copera2_2016">'Participant 2'!$E$18</definedName>
    <definedName name="copera2_2017">'Participant 2'!$F$18</definedName>
    <definedName name="copera2_2018">'Participant 2'!$G$18</definedName>
    <definedName name="copera2_2019">'Participant 2'!$H$18</definedName>
    <definedName name="copera2_2020">'Participant 2'!$I$18</definedName>
    <definedName name="copera2_2021">'Participant 2'!$J$18</definedName>
    <definedName name="copera2_2022">'Participant 2'!$K$18</definedName>
    <definedName name="copera2_2023">'Participant 2'!$L$18</definedName>
    <definedName name="copera2016">'Participant 1'!$E$18</definedName>
    <definedName name="copera2017">Sol·licitant!$F$19</definedName>
    <definedName name="copera2018">Sol·licitant!$G$19</definedName>
    <definedName name="copera2019">Sol·licitant!$H$19</definedName>
    <definedName name="copera2020">Sol·licitant!$I$19</definedName>
    <definedName name="copera2021">Sol·licitant!$J$19</definedName>
    <definedName name="copera2022">Sol·licitant!$K$19</definedName>
    <definedName name="copera2023">Sol·licitant!$L$19</definedName>
    <definedName name="copera3_2016">'Participant 3'!$E$18</definedName>
    <definedName name="copera3_2017">'Participant 3'!$F$18</definedName>
    <definedName name="copera3_2018">'Participant 3'!$G$18</definedName>
    <definedName name="copera3_2019">'Participant 3'!$H$18</definedName>
    <definedName name="copera3_2020">'Participant 3'!$I$18</definedName>
    <definedName name="copera3_2021">'Participant 3'!$J$18</definedName>
    <definedName name="copera3_2022">'Participant 3'!$K$18</definedName>
    <definedName name="copera3_2023">'Participant 3'!$L$18</definedName>
    <definedName name="copera4_2016">'Participant 4'!$E$18</definedName>
    <definedName name="copera4_2017">'Participant 4'!$F$18</definedName>
    <definedName name="copera4_2018">'Participant 4'!$G$18</definedName>
    <definedName name="copera4_2019">'Participant 4'!$H$18</definedName>
    <definedName name="copera4_2020">'Participant 4'!$I$18</definedName>
    <definedName name="copera4_2021">'Participant 4'!$J$18</definedName>
    <definedName name="copera4_2022">'Participant 4'!$K$18</definedName>
    <definedName name="copera4_2023">'Participant 4'!$L$18</definedName>
    <definedName name="copera5_2016">'Participant 5'!$E$18</definedName>
    <definedName name="copera5_2017">'Participant 5'!$F$18</definedName>
    <definedName name="copera5_2018">'Participant 5'!$G$18</definedName>
    <definedName name="copera5_2019">'Participant 5'!$H$18</definedName>
    <definedName name="copera5_2020">'Participant 5'!$I$18</definedName>
    <definedName name="copera5_2021">'Participant 5'!$J$18</definedName>
    <definedName name="copera5_2022">'Participant 5'!$K$18</definedName>
    <definedName name="copera5_2023">'Participant 5'!$L$18</definedName>
    <definedName name="copera6_2016">'Participant 6'!$E$18</definedName>
    <definedName name="copera6_2017">'Participant 6'!$F$18</definedName>
    <definedName name="copera6_2018">'Participant 6'!$G$18</definedName>
    <definedName name="copera6_2019">'Participant 6'!$H$18</definedName>
    <definedName name="copera6_2020">'Participant 6'!$I$18</definedName>
    <definedName name="copera6_2021">'Participant 6'!$J$18</definedName>
    <definedName name="copera6_2022">'Participant 6'!$K$18</definedName>
    <definedName name="copera6_2023">'Participant 6'!$L$18</definedName>
    <definedName name="copera7_2016">'Participant 7'!$E$18</definedName>
    <definedName name="copera7_2017">'Participant 7'!$F$18</definedName>
    <definedName name="copera7_2018">'Participant 7'!$G$18</definedName>
    <definedName name="copera7_2019">'Participant 7'!$H$18</definedName>
    <definedName name="copera7_2020">'Participant 7'!$I$18</definedName>
    <definedName name="copera7_2021">'Participant 7'!$J$18</definedName>
    <definedName name="copera7_2022">'Participant 7'!$K$18</definedName>
    <definedName name="copera7_2023">'Participant 7'!$L$18</definedName>
    <definedName name="copera8_2016">'Participant 8'!$E$18</definedName>
    <definedName name="copera8_2017">'Participant 8'!$F$18</definedName>
    <definedName name="copera8_2018">'Participant 8'!$G$18</definedName>
    <definedName name="copera8_2019">'Participant 8'!$H$18</definedName>
    <definedName name="copera8_2020">'Participant 8'!$I$18</definedName>
    <definedName name="copera8_2021">'Participant 8'!$J$18</definedName>
    <definedName name="copera8_2022">'Participant 8'!$K$18</definedName>
    <definedName name="copera8_2023">'Participant 8'!$L$18</definedName>
    <definedName name="copera9_2016">'Participant 9 '!$E$18</definedName>
    <definedName name="copera9_2017">'Participant 9 '!$F$18</definedName>
    <definedName name="copera9_2018">'Participant 9 '!$G$18</definedName>
    <definedName name="copera9_2019">'Participant 9 '!$H$18</definedName>
    <definedName name="copera9_2020">'Participant 9 '!$I$18</definedName>
    <definedName name="copera9_2021">'Participant 9 '!$J$18</definedName>
    <definedName name="copera9_2022">'Participant 9 '!$K$18</definedName>
    <definedName name="copera9_2023">'Participant 9 '!$L$18</definedName>
    <definedName name="DHJ" localSheetId="10">#REF!</definedName>
    <definedName name="DHJ" localSheetId="11">#REF!</definedName>
    <definedName name="DHJ" localSheetId="7">#REF!</definedName>
    <definedName name="DHJ" localSheetId="9">#REF!</definedName>
    <definedName name="DHJ">#REF!</definedName>
    <definedName name="emissions1_2016">Sol·licitant!$E$53</definedName>
    <definedName name="emissions1_2017">'Participant 1'!$F$52</definedName>
    <definedName name="emissions1_2018">'Participant 1'!$G$52</definedName>
    <definedName name="emissions1_2019">'Participant 1'!$H$52</definedName>
    <definedName name="emissions1_2020">'Participant 1'!$I$52</definedName>
    <definedName name="emissions1_2021">'Participant 1'!$J$52</definedName>
    <definedName name="emissions1_2022">'Participant 1'!$K$52</definedName>
    <definedName name="emissions1_2023">'Participant 1'!$L$52</definedName>
    <definedName name="emissions10_2016">'Participant 10'!$E$52</definedName>
    <definedName name="emissions10_2017">'Participant 10'!$F$52</definedName>
    <definedName name="emissions10_2018">'Participant 10'!$G$52</definedName>
    <definedName name="emissions10_2019">'Participant 10'!$H$52</definedName>
    <definedName name="emissions10_2020">'Participant 10'!$I$52</definedName>
    <definedName name="emissions10_2021">'Participant 10'!$J$52</definedName>
    <definedName name="emissions10_2022">'Participant 10'!$K$52</definedName>
    <definedName name="emissions10_2023">'Participant 10'!$L$52</definedName>
    <definedName name="emissions11_2016">'Participant 11'!$E$52</definedName>
    <definedName name="emissions11_2017">'Participant 11'!$F$52</definedName>
    <definedName name="emissions11_2018">'Participant 11'!$G$52</definedName>
    <definedName name="emissions11_2019">'Participant 11'!$H$52</definedName>
    <definedName name="emissions11_2020">'Participant 11'!$I$52</definedName>
    <definedName name="emissions11_2021">'Participant 11'!$J$52</definedName>
    <definedName name="emissions11_2022">'Participant 11'!$K$52</definedName>
    <definedName name="emissions11_2023">'Participant 11'!$L$52</definedName>
    <definedName name="emissions2_2016">'Participant 2'!$E$52</definedName>
    <definedName name="emissions2_2017">'Participant 2'!$F$52</definedName>
    <definedName name="emissions2_2018">'Participant 2'!$G$52</definedName>
    <definedName name="emissions2_2019">'Participant 2'!$H$52</definedName>
    <definedName name="emissions2_2020">'Participant 2'!$I$52</definedName>
    <definedName name="emissions2_2021">'Participant 2'!$J$52</definedName>
    <definedName name="emissions2_2022">'Participant 2'!$K$52</definedName>
    <definedName name="emissions2_2023">'Participant 2'!$L$52</definedName>
    <definedName name="emissions2016">'Participant 1'!$E$52</definedName>
    <definedName name="emissions2017">Sol·licitant!$F$53</definedName>
    <definedName name="emissions2018">Sol·licitant!$G$53</definedName>
    <definedName name="emissions2019">Sol·licitant!$H$53</definedName>
    <definedName name="emissions2020">Sol·licitant!$I$53</definedName>
    <definedName name="emissions2021">Sol·licitant!$J$53</definedName>
    <definedName name="emissions2022">Sol·licitant!$K$53</definedName>
    <definedName name="emissions2023">Sol·licitant!$L$53</definedName>
    <definedName name="emissions3_2016">'Participant 3'!$E$52</definedName>
    <definedName name="emissions3_2017">'Participant 3'!$F$52</definedName>
    <definedName name="emissions3_2018">'Participant 3'!$G$52</definedName>
    <definedName name="emissions3_2019">'Participant 3'!$H$52</definedName>
    <definedName name="emissions3_2020">'Participant 3'!$I$52</definedName>
    <definedName name="emissions3_2021">'Participant 3'!$J$52</definedName>
    <definedName name="emissions3_2022">'Participant 3'!$K$52</definedName>
    <definedName name="emissions3_2023">'Participant 3'!$L$52</definedName>
    <definedName name="emissions4_2016">'Participant 4'!$E$52</definedName>
    <definedName name="emissions4_2017">'Participant 4'!$F$52</definedName>
    <definedName name="emissions4_2018">'Participant 4'!$G$52</definedName>
    <definedName name="emissions4_2019">'Participant 4'!$H$52</definedName>
    <definedName name="emissions4_2020">'Participant 4'!$I$52</definedName>
    <definedName name="emissions4_2021">'Participant 4'!$J$52</definedName>
    <definedName name="emissions4_2022">'Participant 4'!$K$52</definedName>
    <definedName name="emissions4_2023">'Participant 4'!$L$52</definedName>
    <definedName name="emissions5_2016">'Participant 5'!$E$52</definedName>
    <definedName name="emissions5_2017">'Participant 5'!$F$52</definedName>
    <definedName name="emissions5_2018">'Participant 5'!$G$52</definedName>
    <definedName name="emissions5_2019">'Participant 5'!$H$52</definedName>
    <definedName name="emissions5_2020">'Participant 5'!$I$52</definedName>
    <definedName name="emissions5_2021">'Participant 5'!$J$52</definedName>
    <definedName name="emissions5_2022">'Participant 5'!$K$52</definedName>
    <definedName name="emissions5_2023">'Participant 5'!$L$52</definedName>
    <definedName name="emissions6_2016">'Participant 6'!$E$52</definedName>
    <definedName name="emissions6_2017">'Participant 6'!$F$52</definedName>
    <definedName name="emissions6_2018">'Participant 6'!$G$52</definedName>
    <definedName name="emissions6_2019">'Participant 6'!$H$52</definedName>
    <definedName name="emissions6_2020">'Participant 6'!$I$52</definedName>
    <definedName name="emissions6_2021">'Participant 6'!$J$52</definedName>
    <definedName name="emissions6_2022">'Participant 6'!$K$52</definedName>
    <definedName name="emissions6_2023">'Participant 6'!$L$52</definedName>
    <definedName name="emissions7_2016">'Participant 7'!$E$52</definedName>
    <definedName name="emissions7_2017">'Participant 7'!$F$52</definedName>
    <definedName name="emissions7_2018">'Participant 7'!$G$52</definedName>
    <definedName name="emissions7_2019">'Participant 7'!$H$52</definedName>
    <definedName name="emissions7_2020">'Participant 7'!$I$52</definedName>
    <definedName name="emissions7_2021">'Participant 7'!$J$52</definedName>
    <definedName name="emissions7_2022">'Participant 7'!$K$52</definedName>
    <definedName name="emissions7_2023">'Participant 7'!$L$52</definedName>
    <definedName name="emissions8_2016">'Participant 8'!$E$52</definedName>
    <definedName name="emissions8_2017">'Participant 8'!$F$52</definedName>
    <definedName name="emissions8_2018">'Participant 8'!$G$52</definedName>
    <definedName name="emissions8_2019">'Participant 8'!$H$52</definedName>
    <definedName name="emissions8_2020">'Participant 8'!$I$52</definedName>
    <definedName name="emissions8_2021">'Participant 8'!$J$52</definedName>
    <definedName name="emissions8_2022">'Participant 8'!$K$52</definedName>
    <definedName name="emissions8_2023">'Participant 8'!$L$52</definedName>
    <definedName name="emissions9_2016">'Participant 9 '!$E$52</definedName>
    <definedName name="emissions9_2017">'Participant 9 '!$F$52</definedName>
    <definedName name="emissions9_2018">'Participant 9 '!$G$52</definedName>
    <definedName name="emissions9_2019">'Participant 9 '!$H$52</definedName>
    <definedName name="emissions9_2020">'Participant 9 '!$I$52</definedName>
    <definedName name="emissions9_2021">'Participant 9 '!$J$52</definedName>
    <definedName name="emissions9_2022">'Participant 9 '!$K$52</definedName>
    <definedName name="emissions9_2023">'Participant 9 '!$L$52</definedName>
    <definedName name="empresa1" localSheetId="10">#REF!</definedName>
    <definedName name="empresa1" localSheetId="11">#REF!</definedName>
    <definedName name="empresa1" localSheetId="5">#REF!</definedName>
    <definedName name="empresa1" localSheetId="6">#REF!</definedName>
    <definedName name="empresa1" localSheetId="7">#REF!</definedName>
    <definedName name="empresa1" localSheetId="9">#REF!</definedName>
    <definedName name="empresa1">#REF!</definedName>
    <definedName name="empresesprivades1_2016">Sol·licitant!$E$35</definedName>
    <definedName name="empresesprivades1_2017">'Participant 1'!$F$34</definedName>
    <definedName name="empresesprivades1_2018">'Participant 1'!$G$34</definedName>
    <definedName name="empresesprivades1_2019">'Participant 1'!$H$34</definedName>
    <definedName name="empresesprivades1_2020">'Participant 1'!$I$34</definedName>
    <definedName name="empresesprivades1_2021">'Participant 1'!$J$34</definedName>
    <definedName name="empresesprivades1_2022">'Participant 1'!$K$34</definedName>
    <definedName name="empresesprivades1_2023">'Participant 1'!$L$34</definedName>
    <definedName name="empresesprivades10_2016">'Participant 10'!$E$34</definedName>
    <definedName name="empresesprivades10_2017">'Participant 10'!$F$34</definedName>
    <definedName name="empresesprivades10_2018">'Participant 10'!$G$34</definedName>
    <definedName name="empresesprivades10_2019">'Participant 10'!$H$34</definedName>
    <definedName name="empresesprivades10_2020">'Participant 10'!$I$34</definedName>
    <definedName name="empresesprivades10_2021">'Participant 10'!$J$34</definedName>
    <definedName name="empresesprivades10_2022">'Participant 10'!$K$34</definedName>
    <definedName name="empresesprivades10_2023">'Participant 10'!$L$34</definedName>
    <definedName name="empresesprivades11_2016">'Participant 11'!$E$34</definedName>
    <definedName name="empresesprivades11_2017">'Participant 11'!$F$34</definedName>
    <definedName name="empresesprivades11_2018">'Participant 11'!$G$34</definedName>
    <definedName name="empresesprivades11_2019">'Participant 11'!$H$34</definedName>
    <definedName name="empresesprivades11_2020">'Participant 11'!$I$34</definedName>
    <definedName name="empresesprivades11_2021">'Participant 11'!$J$34</definedName>
    <definedName name="empresesprivades11_2022">'Participant 11'!$K$34</definedName>
    <definedName name="empresesprivades11_2023">'Participant 11'!$L$34</definedName>
    <definedName name="empresesprivades2_2016">'Participant 2'!$E$34</definedName>
    <definedName name="empresesprivades2_2017">'Participant 2'!$F$34</definedName>
    <definedName name="empresesprivades2_2018">'Participant 2'!$G$34</definedName>
    <definedName name="empresesprivades2_2019">'Participant 2'!$H$34</definedName>
    <definedName name="empresesprivades2_2020">'Participant 2'!$I$34</definedName>
    <definedName name="empresesprivades2_2021">'Participant 2'!$J$34</definedName>
    <definedName name="empresesprivades2_2022">'Participant 2'!$K$34</definedName>
    <definedName name="empresesprivades2_2023">'Participant 2'!$L$34</definedName>
    <definedName name="empresesprivades2016">'Participant 1'!$E$34</definedName>
    <definedName name="empresesprivades2017">Sol·licitant!$F$35</definedName>
    <definedName name="empresesprivades2018">Sol·licitant!$G$35</definedName>
    <definedName name="empresesprivades2019">Sol·licitant!$H$35</definedName>
    <definedName name="empresesprivades2020">Sol·licitant!$I$35</definedName>
    <definedName name="empresesprivades2021">Sol·licitant!$J$35</definedName>
    <definedName name="empresesprivades2022">Sol·licitant!$K$35</definedName>
    <definedName name="empresesprivades2023">Sol·licitant!$L$35</definedName>
    <definedName name="empresesprivades3_2016">'Participant 3'!$E$34</definedName>
    <definedName name="empresesprivades3_2017">'Participant 3'!$F$34</definedName>
    <definedName name="empresesprivades3_2018">'Participant 3'!$G$34</definedName>
    <definedName name="empresesprivades3_2019">'Participant 3'!$H$34</definedName>
    <definedName name="empresesprivades3_2020">'Participant 3'!$I$34</definedName>
    <definedName name="empresesprivades3_2021">'Participant 3'!$J$34</definedName>
    <definedName name="empresesprivades3_2022">'Participant 3'!$K$34</definedName>
    <definedName name="empresesprivades3_2023">'Participant 3'!$L$34</definedName>
    <definedName name="empresesprivades4_2016">'Participant 4'!$E$34</definedName>
    <definedName name="empresesprivades4_2017">'Participant 4'!$F$34</definedName>
    <definedName name="empresesprivades4_2018">'Participant 4'!$G$34</definedName>
    <definedName name="empresesprivades4_2019">'Participant 4'!$H$34</definedName>
    <definedName name="empresesprivades4_2020">'Participant 4'!$I$34</definedName>
    <definedName name="empresesprivades4_2021">'Participant 4'!$J$34</definedName>
    <definedName name="empresesprivades4_2022">'Participant 4'!$K$34</definedName>
    <definedName name="empresesprivades4_2023">'Participant 4'!$L$34</definedName>
    <definedName name="empresesprivades5_2016">'Participant 5'!$E$34</definedName>
    <definedName name="empresesprivades5_2017">'Participant 5'!$F$34</definedName>
    <definedName name="empresesprivades5_2018">'Participant 5'!$G$34</definedName>
    <definedName name="empresesprivades5_2019">'Participant 5'!$H$34</definedName>
    <definedName name="empresesprivades5_2020">'Participant 5'!$I$34</definedName>
    <definedName name="empresesprivades5_2021">'Participant 5'!$J$34</definedName>
    <definedName name="empresesprivades5_2022">'Participant 5'!$K$34</definedName>
    <definedName name="empresesprivades5_2023">'Participant 5'!$L$34</definedName>
    <definedName name="empresesprivades6_2016">'Participant 6'!$E$34</definedName>
    <definedName name="empresesprivades6_2017">'Participant 6'!$F$34</definedName>
    <definedName name="empresesprivades6_2018">'Participant 6'!$G$34</definedName>
    <definedName name="empresesprivades6_2019">'Participant 6'!$H$34</definedName>
    <definedName name="empresesprivades6_2020">'Participant 6'!$I$34</definedName>
    <definedName name="empresesprivades6_2021">'Participant 6'!$J$34</definedName>
    <definedName name="empresesprivades6_2022">'Participant 6'!$K$34</definedName>
    <definedName name="empresesprivades6_2023">'Participant 6'!$L$34</definedName>
    <definedName name="empresesprivades7_2016">'Participant 7'!$E$34</definedName>
    <definedName name="empresesprivades7_2017">'Participant 7'!$F$34</definedName>
    <definedName name="empresesprivades7_2018">'Participant 7'!$G$34</definedName>
    <definedName name="empresesprivades7_2019">'Participant 7'!$H$34</definedName>
    <definedName name="empresesprivades7_2020">'Participant 7'!$I$34</definedName>
    <definedName name="empresesprivades7_2021">'Participant 7'!$J$34</definedName>
    <definedName name="empresesprivades7_2022">'Participant 7'!$K$34</definedName>
    <definedName name="empresesprivades7_2023">'Participant 7'!$L$34</definedName>
    <definedName name="empresesprivades8_2016">'Participant 8'!$E$34</definedName>
    <definedName name="empresesprivades8_2017">'Participant 8'!$F$34</definedName>
    <definedName name="empresesprivades8_2018">'Participant 8'!$G$34</definedName>
    <definedName name="empresesprivades8_2019">'Participant 8'!$H$34</definedName>
    <definedName name="empresesprivades8_2020">'Participant 8'!$I$34</definedName>
    <definedName name="empresesprivades8_2021">'Participant 8'!$J$34</definedName>
    <definedName name="empresesprivades8_2022">'Participant 8'!$K$34</definedName>
    <definedName name="empresesprivades8_2023">'Participant 8'!$L$34</definedName>
    <definedName name="empresesprivades9_2016">'Participant 9 '!$E$34</definedName>
    <definedName name="empresesprivades9_2017">'Participant 9 '!$F$34</definedName>
    <definedName name="empresesprivades9_2018">'Participant 9 '!$G$34</definedName>
    <definedName name="empresesprivades9_2019">'Participant 9 '!$H$34</definedName>
    <definedName name="empresesprivades9_2020">'Participant 9 '!$I$34</definedName>
    <definedName name="empresesprivades9_2021">'Participant 9 '!$J$34</definedName>
    <definedName name="empresesprivades9_2022">'Participant 9 '!$K$34</definedName>
    <definedName name="empresesprivades9_2023">'Participant 9 '!$L$34</definedName>
    <definedName name="empresespubliques1_2016">Sol·licitant!$E$36</definedName>
    <definedName name="empresespubliques1_2017">'Participant 1'!$F$35</definedName>
    <definedName name="empresespubliques1_2018">'Participant 1'!$G$35</definedName>
    <definedName name="empresespubliques1_2019">'Participant 1'!$H$35</definedName>
    <definedName name="empresespubliques1_2020">'Participant 1'!$I$35</definedName>
    <definedName name="empresespubliques1_2021">'Participant 1'!$J$35</definedName>
    <definedName name="empresespubliques1_2022">'Participant 1'!$K$35</definedName>
    <definedName name="empresespubliques1_2023">'Participant 1'!$L$35</definedName>
    <definedName name="empresespubliques10_2016">'Participant 10'!$E$35</definedName>
    <definedName name="empresespubliques10_2017">'Participant 10'!$F$35</definedName>
    <definedName name="empresespubliques10_2018">'Participant 10'!$G$35</definedName>
    <definedName name="empresespubliques10_2019">'Participant 10'!$H$35</definedName>
    <definedName name="empresespubliques10_2020">'Participant 10'!$I$35</definedName>
    <definedName name="empresespubliques10_2021">'Participant 10'!$J$35</definedName>
    <definedName name="empresespubliques10_2022">'Participant 10'!$K$35</definedName>
    <definedName name="empresespubliques10_2023">'Participant 10'!$L$35</definedName>
    <definedName name="empresespubliques11_2016">'Participant 11'!$E$35</definedName>
    <definedName name="empresespubliques11_2017">'Participant 11'!$F$35</definedName>
    <definedName name="empresespubliques11_2018">'Participant 11'!$G$35</definedName>
    <definedName name="empresespubliques11_2019">'Participant 11'!$H$35</definedName>
    <definedName name="empresespubliques11_2020">'Participant 11'!$I$35</definedName>
    <definedName name="empresespubliques11_2021">'Participant 11'!$J$35</definedName>
    <definedName name="empresespubliques11_2022">'Participant 11'!$K$35</definedName>
    <definedName name="empresespubliques11_2023">'Participant 11'!$L$35</definedName>
    <definedName name="empresespubliques2_2016">'Participant 2'!$E$35</definedName>
    <definedName name="empresespubliques2_2017">'Participant 2'!$F$35</definedName>
    <definedName name="empresespubliques2_2018">'Participant 2'!$G$35</definedName>
    <definedName name="empresespubliques2_2019">'Participant 2'!$H$35</definedName>
    <definedName name="empresespubliques2_2020">'Participant 2'!$I$35</definedName>
    <definedName name="empresespubliques2_2021">'Participant 2'!$J$35</definedName>
    <definedName name="empresespubliques2_2022">'Participant 2'!$K$35</definedName>
    <definedName name="empresespubliques2_2023">'Participant 2'!$L$35</definedName>
    <definedName name="empresespubliques2016">'Participant 1'!$E$35</definedName>
    <definedName name="empresespubliques2017">Sol·licitant!$F$36</definedName>
    <definedName name="empresespubliques2018">Sol·licitant!$G$36</definedName>
    <definedName name="empresespubliques2019">Sol·licitant!$H$36</definedName>
    <definedName name="empresespubliques2020">Sol·licitant!$I$36</definedName>
    <definedName name="empresespubliques2021">Sol·licitant!$J$36</definedName>
    <definedName name="empresespubliques2022">Sol·licitant!$K$36</definedName>
    <definedName name="empresespubliques2023">Sol·licitant!$L$36</definedName>
    <definedName name="empresespubliques3_2016">'Participant 3'!$E$35</definedName>
    <definedName name="empresespubliques3_2017">'Participant 3'!$F$35</definedName>
    <definedName name="empresespubliques3_2018">'Participant 3'!$G$35</definedName>
    <definedName name="empresespubliques3_2019">'Participant 3'!$H$35</definedName>
    <definedName name="empresespubliques3_2020">'Participant 3'!$I$35</definedName>
    <definedName name="empresespubliques3_2021">'Participant 3'!$J$35</definedName>
    <definedName name="empresespubliques3_2022">'Participant 3'!$K$35</definedName>
    <definedName name="empresespubliques3_2023">'Participant 3'!$L$35</definedName>
    <definedName name="empresespubliques4_2016">'Participant 4'!$E$35</definedName>
    <definedName name="empresespubliques4_2017">'Participant 4'!$F$35</definedName>
    <definedName name="empresespubliques4_2018">'Participant 4'!$G$35</definedName>
    <definedName name="empresespubliques4_2019">'Participant 4'!$H$35</definedName>
    <definedName name="empresespubliques4_2020">'Participant 4'!$I$35</definedName>
    <definedName name="empresespubliques4_2021">'Participant 4'!$J$35</definedName>
    <definedName name="empresespubliques4_2022">'Participant 4'!$K$35</definedName>
    <definedName name="empresespubliques4_2023">'Participant 4'!$L$35</definedName>
    <definedName name="empresespubliques5_2016">'Participant 5'!$E$35</definedName>
    <definedName name="empresespubliques5_2017">'Participant 5'!$F$35</definedName>
    <definedName name="empresespubliques5_2018">'Participant 5'!$G$35</definedName>
    <definedName name="empresespubliques5_2019">'Participant 5'!$H$35</definedName>
    <definedName name="empresespubliques5_2020">'Participant 5'!$I$35</definedName>
    <definedName name="empresespubliques5_2021">'Participant 5'!$J$35</definedName>
    <definedName name="empresespubliques5_2022">'Participant 5'!$K$35</definedName>
    <definedName name="empresespubliques5_2023">'Participant 5'!$L$35</definedName>
    <definedName name="empresespubliques6_2016">'Participant 6'!$E$35</definedName>
    <definedName name="empresespubliques6_2017">'Participant 6'!$F$35</definedName>
    <definedName name="empresespubliques6_2018">'Participant 6'!$G$35</definedName>
    <definedName name="empresespubliques6_2019">'Participant 6'!$H$35</definedName>
    <definedName name="empresespubliques6_2020">'Participant 6'!$I$35</definedName>
    <definedName name="empresespubliques6_2021">'Participant 6'!$J$35</definedName>
    <definedName name="empresespubliques6_2022">'Participant 6'!$K$35</definedName>
    <definedName name="empresespubliques6_2023">'Participant 6'!$L$35</definedName>
    <definedName name="empresespubliques7_2016">'Participant 7'!$E$35</definedName>
    <definedName name="empresespubliques7_2017">'Participant 7'!$F$35</definedName>
    <definedName name="empresespubliques7_2018">'Participant 7'!$G$35</definedName>
    <definedName name="empresespubliques7_2019">'Participant 7'!$H$35</definedName>
    <definedName name="empresespubliques7_2020">'Participant 7'!$I$35</definedName>
    <definedName name="empresespubliques7_2021">'Participant 7'!$J$35</definedName>
    <definedName name="empresespubliques7_2022">'Participant 7'!$K$35</definedName>
    <definedName name="empresespubliques7_2023">'Participant 7'!$L$35</definedName>
    <definedName name="empresespubliques8_2016">'Participant 8'!$E$35</definedName>
    <definedName name="empresespubliques8_2017">'Participant 8'!$F$35</definedName>
    <definedName name="empresespubliques8_2018">'Participant 8'!$G$35</definedName>
    <definedName name="empresespubliques8_2019">'Participant 8'!$H$35</definedName>
    <definedName name="empresespubliques8_2020">'Participant 8'!$I$35</definedName>
    <definedName name="empresespubliques8_2021">'Participant 8'!$J$35</definedName>
    <definedName name="empresespubliques8_2022">'Participant 8'!$K$35</definedName>
    <definedName name="empresespubliques8_2023">'Participant 8'!$L$35</definedName>
    <definedName name="empresespubliques9_2016">'Participant 9 '!$E$35</definedName>
    <definedName name="empresespubliques9_2017">'Participant 9 '!$F$35</definedName>
    <definedName name="empresespubliques9_2018">'Participant 9 '!$G$35</definedName>
    <definedName name="empresespubliques9_2019">'Participant 9 '!$H$35</definedName>
    <definedName name="empresespubliques9_2020">'Participant 9 '!$I$35</definedName>
    <definedName name="empresespubliques9_2021">'Participant 9 '!$J$35</definedName>
    <definedName name="empresespubliques9_2022">'Participant 9 '!$K$35</definedName>
    <definedName name="empresespubliques9_2023">'Participant 9 '!$L$35</definedName>
    <definedName name="energia1_2016">Sol·licitant!$E$52</definedName>
    <definedName name="energia1_2017">'Participant 1'!$F$51</definedName>
    <definedName name="energia1_2018">'Participant 1'!$G$51</definedName>
    <definedName name="energia1_2019">'Participant 1'!$H$51</definedName>
    <definedName name="energia1_2020">'Participant 1'!$I$51</definedName>
    <definedName name="energia1_2021">'Participant 1'!$J$51</definedName>
    <definedName name="energia1_2022">'Participant 1'!$K$51</definedName>
    <definedName name="energia1_2023">'Participant 1'!$L$51</definedName>
    <definedName name="energia10_2016">'Participant 10'!$E$51</definedName>
    <definedName name="energia10_2017">'Participant 10'!$F$51</definedName>
    <definedName name="energia10_2018">'Participant 10'!$G$51</definedName>
    <definedName name="energia10_2019">'Participant 10'!$H$51</definedName>
    <definedName name="energia10_2020">'Participant 10'!$I$51</definedName>
    <definedName name="energia10_2021">'Participant 10'!$J$51</definedName>
    <definedName name="energia10_2022">'Participant 10'!$K$51</definedName>
    <definedName name="energia10_2023">'Participant 10'!$L$51</definedName>
    <definedName name="energia11_2016">'Participant 11'!$E$51</definedName>
    <definedName name="energia11_2017">'Participant 11'!$F$51</definedName>
    <definedName name="energia11_2018">'Participant 11'!$G$51</definedName>
    <definedName name="energia11_2019">'Participant 11'!$H$51</definedName>
    <definedName name="energia11_2020">'Participant 11'!$I$51</definedName>
    <definedName name="energia11_2021">'Participant 11'!$J$51</definedName>
    <definedName name="energia11_2022">'Participant 11'!$K$51</definedName>
    <definedName name="energia11_2023">'Participant 11'!$L$51</definedName>
    <definedName name="energia2_2016">'Participant 2'!$E$51</definedName>
    <definedName name="energia2_2017">'Participant 2'!$F$51</definedName>
    <definedName name="energia2_2018">'Participant 2'!$G$51</definedName>
    <definedName name="energia2_2019">'Participant 2'!$H$51</definedName>
    <definedName name="energia2_2020">'Participant 2'!$I$51</definedName>
    <definedName name="energia2_2021">'Participant 2'!$J$51</definedName>
    <definedName name="energia2_2022">'Participant 2'!$K$51</definedName>
    <definedName name="energia2_2023">'Participant 2'!$L$51</definedName>
    <definedName name="energia2016">'Participant 1'!$E$51</definedName>
    <definedName name="energia2017">Sol·licitant!$F$52</definedName>
    <definedName name="energia2018">Sol·licitant!$G$52</definedName>
    <definedName name="energia2019">Sol·licitant!$H$52</definedName>
    <definedName name="energia2020">Sol·licitant!$I$52</definedName>
    <definedName name="energia2021">Sol·licitant!$J$52</definedName>
    <definedName name="energia2022">Sol·licitant!$K$52</definedName>
    <definedName name="energia2023">Sol·licitant!$L$52</definedName>
    <definedName name="energia3_2016">'Participant 3'!$E$51</definedName>
    <definedName name="energia3_2017">'Participant 3'!$F$51</definedName>
    <definedName name="energia3_2018">'Participant 3'!$G$51</definedName>
    <definedName name="energia3_2019">'Participant 3'!$H$51</definedName>
    <definedName name="energia3_2020">'Participant 3'!$I$51</definedName>
    <definedName name="energia3_2021">'Participant 3'!$J$51</definedName>
    <definedName name="energia3_2022">'Participant 3'!$K$51</definedName>
    <definedName name="energia3_2023">'Participant 3'!$L$51</definedName>
    <definedName name="energia4_2016">'Participant 4'!$E$51</definedName>
    <definedName name="energia4_2017">'Participant 4'!$F$51</definedName>
    <definedName name="energia4_2018">'Participant 4'!$G$51</definedName>
    <definedName name="energia4_2019">'Participant 4'!$H$51</definedName>
    <definedName name="energia4_2020">'Participant 4'!$I$51</definedName>
    <definedName name="energia4_2021">'Participant 4'!$J$51</definedName>
    <definedName name="energia4_2022">'Participant 4'!$K$51</definedName>
    <definedName name="energia4_2023">'Participant 4'!$L$51</definedName>
    <definedName name="energia5_2016">'Participant 5'!$E$51</definedName>
    <definedName name="energia5_2017">'Participant 5'!$F$51</definedName>
    <definedName name="energia5_2018">'Participant 5'!$G$51</definedName>
    <definedName name="energia5_2019">'Participant 5'!$H$51</definedName>
    <definedName name="energia5_2020">'Participant 5'!$I$51</definedName>
    <definedName name="energia5_2021">'Participant 5'!$J$51</definedName>
    <definedName name="energia5_2022">'Participant 5'!$K$51</definedName>
    <definedName name="energia5_2023">'Participant 5'!$L$51</definedName>
    <definedName name="energia6_2016">'Participant 6'!$E$51</definedName>
    <definedName name="energia6_2017">'Participant 6'!$F$51</definedName>
    <definedName name="energia6_2018">'Participant 6'!$G$51</definedName>
    <definedName name="energia6_2019">'Participant 6'!$H$51</definedName>
    <definedName name="energia6_2020">'Participant 6'!$I$51</definedName>
    <definedName name="energia6_2021">'Participant 6'!$J$51</definedName>
    <definedName name="energia6_2022">'Participant 6'!$K$51</definedName>
    <definedName name="energia6_2023">'Participant 6'!$L$51</definedName>
    <definedName name="energia7_2016">'Participant 7'!$E$51</definedName>
    <definedName name="energia7_2017">'Participant 7'!$F$51</definedName>
    <definedName name="energia7_2018">'Participant 7'!$G$51</definedName>
    <definedName name="energia7_2019">'Participant 7'!$H$51</definedName>
    <definedName name="energia7_2020">'Participant 7'!$I$51</definedName>
    <definedName name="energia7_2021">'Participant 7'!$J$51</definedName>
    <definedName name="energia7_2022">'Participant 7'!$K$51</definedName>
    <definedName name="energia7_2023">'Participant 7'!$L$51</definedName>
    <definedName name="energia8_2016">'Participant 8'!$E$51</definedName>
    <definedName name="energia8_2017">'Participant 8'!$F$51</definedName>
    <definedName name="energia8_2018">'Participant 8'!$G$51</definedName>
    <definedName name="energia8_2019">'Participant 8'!$H$51</definedName>
    <definedName name="energia8_2020">'Participant 8'!$I$51</definedName>
    <definedName name="energia8_2021">'Participant 8'!$J$51</definedName>
    <definedName name="energia8_2022">'Participant 8'!$K$51</definedName>
    <definedName name="energia8_2023">'Participant 8'!$L$51</definedName>
    <definedName name="energia9_2016">'Participant 9 '!$E$51</definedName>
    <definedName name="energia9_2017">'Participant 9 '!$F$51</definedName>
    <definedName name="energia9_2018">'Participant 9 '!$G$51</definedName>
    <definedName name="energia9_2019">'Participant 9 '!$H$51</definedName>
    <definedName name="energia9_2020">'Participant 9 '!$I$51</definedName>
    <definedName name="energia9_2021">'Participant 9 '!$J$51</definedName>
    <definedName name="energia9_2022">'Participant 9 '!$K$51</definedName>
    <definedName name="energia9_2023">'Participant 9 '!$L$51</definedName>
    <definedName name="exportacions1_2016">Sol·licitant!$E$48</definedName>
    <definedName name="exportacions1_2017">'Participant 1'!$F$47</definedName>
    <definedName name="exportacions1_2018">'Participant 1'!$G$47</definedName>
    <definedName name="exportacions1_2019">'Participant 1'!$H$47</definedName>
    <definedName name="exportacions1_2020">'Participant 1'!$I$47</definedName>
    <definedName name="exportacions1_2021">'Participant 1'!$J$47</definedName>
    <definedName name="exportacions1_2022">'Participant 1'!$K$47</definedName>
    <definedName name="exportacions1_2023">'Participant 1'!$L$47</definedName>
    <definedName name="exportacions10_2016">'Participant 10'!$E$47</definedName>
    <definedName name="exportacions10_2017">'Participant 10'!$F$47</definedName>
    <definedName name="exportacions10_2018">'Participant 10'!$G$47</definedName>
    <definedName name="exportacions10_2019">'Participant 10'!$H$47</definedName>
    <definedName name="exportacions10_2020">'Participant 10'!$I$47</definedName>
    <definedName name="exportacions10_2021">'Participant 10'!$J$47</definedName>
    <definedName name="exportacions10_2022">'Participant 10'!$K$47</definedName>
    <definedName name="exportacions10_2023">'Participant 10'!$L$47</definedName>
    <definedName name="exportacions11_2016">'Participant 11'!$E$47</definedName>
    <definedName name="exportacions11_2017">'Participant 11'!$F$47</definedName>
    <definedName name="exportacions11_2018">'Participant 11'!$G$47</definedName>
    <definedName name="exportacions11_2019">'Participant 11'!$H$47</definedName>
    <definedName name="exportacions11_2020">'Participant 11'!$I$47</definedName>
    <definedName name="exportacions11_2021">'Participant 11'!$J$47</definedName>
    <definedName name="exportacions11_2022">'Participant 11'!$K$47</definedName>
    <definedName name="exportacions11_2023">'Participant 11'!$L$47</definedName>
    <definedName name="exportacions2_2016">'Participant 2'!$E$47</definedName>
    <definedName name="exportacions2_2017">'Participant 2'!$F$47</definedName>
    <definedName name="exportacions2_2018">'Participant 2'!$G$47</definedName>
    <definedName name="exportacions2_2019">'Participant 2'!$H$47</definedName>
    <definedName name="exportacions2_2020">'Participant 2'!$I$47</definedName>
    <definedName name="exportacions2_2021">'Participant 2'!$J$47</definedName>
    <definedName name="exportacions2_2022">'Participant 2'!$K$47</definedName>
    <definedName name="exportacions2_2023">'Participant 2'!$L$47</definedName>
    <definedName name="exportacions2016">'Participant 1'!$E$47</definedName>
    <definedName name="exportacions2017">Sol·licitant!$F$48</definedName>
    <definedName name="exportacions2018">Sol·licitant!$G$48</definedName>
    <definedName name="exportacions2019">Sol·licitant!$H$48</definedName>
    <definedName name="exportacions2020">Sol·licitant!$I$48</definedName>
    <definedName name="exportacions2021">Sol·licitant!$J$48</definedName>
    <definedName name="exportacions2022">Sol·licitant!$K$48</definedName>
    <definedName name="exportacions2023">Sol·licitant!$L$48</definedName>
    <definedName name="exportacions3_2016">'Participant 3'!$E$47</definedName>
    <definedName name="exportacions3_2017">'Participant 3'!$F$47</definedName>
    <definedName name="exportacions3_2018">'Participant 3'!$G$47</definedName>
    <definedName name="exportacions3_2019">'Participant 3'!$H$47</definedName>
    <definedName name="exportacions3_2020">'Participant 3'!$I$47</definedName>
    <definedName name="exportacions3_2021">'Participant 3'!$J$47</definedName>
    <definedName name="exportacions3_2022">'Participant 3'!$K$47</definedName>
    <definedName name="exportacions3_2023">'Participant 3'!$L$47</definedName>
    <definedName name="exportacions4_2016">'Participant 4'!$E$47</definedName>
    <definedName name="exportacions4_2017">'Participant 4'!$F$47</definedName>
    <definedName name="exportacions4_2018">'Participant 4'!$G$47</definedName>
    <definedName name="exportacions4_2019">'Participant 4'!$H$47</definedName>
    <definedName name="exportacions4_2020">'Participant 4'!$I$47</definedName>
    <definedName name="exportacions4_2021">'Participant 4'!$J$47</definedName>
    <definedName name="exportacions4_2022">'Participant 4'!$K$47</definedName>
    <definedName name="exportacions4_2023">'Participant 4'!$L$47</definedName>
    <definedName name="exportacions5_2016">'Participant 5'!$E$47</definedName>
    <definedName name="exportacions5_2017">'Participant 5'!$F$47</definedName>
    <definedName name="exportacions5_2018">'Participant 5'!$G$47</definedName>
    <definedName name="exportacions5_2019">'Participant 5'!$H$47</definedName>
    <definedName name="exportacions5_2020">'Participant 5'!$I$47</definedName>
    <definedName name="exportacions5_2021">'Participant 5'!$J$47</definedName>
    <definedName name="exportacions5_2022">'Participant 5'!$K$47</definedName>
    <definedName name="exportacions5_2023">'Participant 5'!$L$47</definedName>
    <definedName name="exportacions6_2016">'Participant 6'!$E$47</definedName>
    <definedName name="exportacions6_2017">'Participant 6'!$F$47</definedName>
    <definedName name="exportacions6_2018">'Participant 6'!$G$47</definedName>
    <definedName name="exportacions6_2019">'Participant 6'!$H$47</definedName>
    <definedName name="exportacions6_2020">'Participant 6'!$I$47</definedName>
    <definedName name="exportacions6_2021">'Participant 6'!$J$47</definedName>
    <definedName name="exportacions6_2022">'Participant 6'!$K$47</definedName>
    <definedName name="exportacions6_2023">'Participant 6'!$L$47</definedName>
    <definedName name="exportacions7_2016">'Participant 7'!$E$47</definedName>
    <definedName name="exportacions7_2017">'Participant 7'!$F$47</definedName>
    <definedName name="exportacions7_2018">'Participant 7'!$G$47</definedName>
    <definedName name="exportacions7_2019">'Participant 7'!$H$47</definedName>
    <definedName name="exportacions7_2020">'Participant 7'!$I$47</definedName>
    <definedName name="exportacions7_2021">'Participant 7'!$J$47</definedName>
    <definedName name="exportacions7_2022">'Participant 7'!$K$47</definedName>
    <definedName name="exportacions7_2023">'Participant 7'!$L$47</definedName>
    <definedName name="exportacions8_2016">'Participant 8'!$E$47</definedName>
    <definedName name="exportacions8_2017">'Participant 8'!$F$47</definedName>
    <definedName name="exportacions8_2018">'Participant 8'!$G$47</definedName>
    <definedName name="exportacions8_2019">'Participant 8'!$H$47</definedName>
    <definedName name="exportacions8_2020">'Participant 8'!$I$47</definedName>
    <definedName name="exportacions8_2021">'Participant 8'!$J$47</definedName>
    <definedName name="exportacions8_2022">'Participant 8'!$K$47</definedName>
    <definedName name="exportacions8_2023">'Participant 8'!$L$47</definedName>
    <definedName name="exportacions9_2016">'Participant 9 '!$E$47</definedName>
    <definedName name="exportacions9_2017">'Participant 9 '!$F$47</definedName>
    <definedName name="exportacions9_2018">'Participant 9 '!$G$47</definedName>
    <definedName name="exportacions9_2019">'Participant 9 '!$H$47</definedName>
    <definedName name="exportacions9_2020">'Participant 9 '!$I$47</definedName>
    <definedName name="exportacions9_2021">'Participant 9 '!$J$47</definedName>
    <definedName name="exportacions9_2022">'Participant 9 '!$K$47</definedName>
    <definedName name="exportacions9_2023">'Participant 9 '!$L$47</definedName>
    <definedName name="FG" localSheetId="10">#REF!</definedName>
    <definedName name="FG" localSheetId="11">#REF!</definedName>
    <definedName name="FG" localSheetId="7">#REF!</definedName>
    <definedName name="FG" localSheetId="9">#REF!</definedName>
    <definedName name="FG">#REF!</definedName>
    <definedName name="formacio1_2016">Sol·licitant!$E$46</definedName>
    <definedName name="formacio1_2017">'Participant 1'!$F$45</definedName>
    <definedName name="formacio1_2018">'Participant 1'!$G$45</definedName>
    <definedName name="formacio1_2019">'Participant 1'!$H$45</definedName>
    <definedName name="formacio1_2020">'Participant 1'!$I$45</definedName>
    <definedName name="formacio1_2021">'Participant 1'!$J$45</definedName>
    <definedName name="formacio1_2022">'Participant 1'!$K$45</definedName>
    <definedName name="formacio1_2023">'Participant 1'!$L$45</definedName>
    <definedName name="formacio10_2016">'Participant 10'!$E$45</definedName>
    <definedName name="formacio10_2017">'Participant 10'!$F$45</definedName>
    <definedName name="formacio10_2018">'Participant 10'!$G$45</definedName>
    <definedName name="formacio10_2019">'Participant 10'!$H$45</definedName>
    <definedName name="formacio10_2020">'Participant 10'!$I$45</definedName>
    <definedName name="formacio10_2021">'Participant 10'!$J$45</definedName>
    <definedName name="formacio10_2022">'Participant 10'!$K$45</definedName>
    <definedName name="formacio10_2023">'Participant 10'!$L$45</definedName>
    <definedName name="formacio11_2016">'Participant 11'!$E$45</definedName>
    <definedName name="formacio11_2017">'Participant 11'!$F$45</definedName>
    <definedName name="formacio11_2018">'Participant 11'!$G$45</definedName>
    <definedName name="formacio11_2019">'Participant 11'!$H$45</definedName>
    <definedName name="formacio11_2020">'Participant 11'!$I$45</definedName>
    <definedName name="formacio11_2021">'Participant 11'!$J$45</definedName>
    <definedName name="formacio11_2022">'Participant 11'!$K$45</definedName>
    <definedName name="formacio11_2023">'Participant 11'!$L$45</definedName>
    <definedName name="formacio2_2016">'Participant 2'!$E$45</definedName>
    <definedName name="formacio2_2017">'Participant 2'!$F$45</definedName>
    <definedName name="formacio2_2018">'Participant 2'!$G$45</definedName>
    <definedName name="formacio2_2019">'Participant 2'!$H$45</definedName>
    <definedName name="formacio2_2020">'Participant 2'!$I$45</definedName>
    <definedName name="formacio2_2021">'Participant 2'!$J$45</definedName>
    <definedName name="formacio2_2022">'Participant 2'!$K$45</definedName>
    <definedName name="formacio2_2023">'Participant 2'!$L$45</definedName>
    <definedName name="formacio2016">'Participant 1'!$E$45</definedName>
    <definedName name="formacio2017">Sol·licitant!$F$46</definedName>
    <definedName name="formacio2018">Sol·licitant!$G$46</definedName>
    <definedName name="formacio2019">Sol·licitant!$H$46</definedName>
    <definedName name="formacio2020">Sol·licitant!$I$46</definedName>
    <definedName name="formacio2021">Sol·licitant!$J$46</definedName>
    <definedName name="formacio2022">Sol·licitant!$K$46</definedName>
    <definedName name="formacio2023">Sol·licitant!$L$46</definedName>
    <definedName name="formacio3_2016">'Participant 3'!$E$45</definedName>
    <definedName name="formacio3_2017">'Participant 3'!$F$45</definedName>
    <definedName name="formacio3_2018">'Participant 3'!$G$45</definedName>
    <definedName name="formacio3_2019">'Participant 3'!$H$45</definedName>
    <definedName name="formacio3_2020">'Participant 3'!$I$45</definedName>
    <definedName name="formacio3_2021">'Participant 3'!$J$45</definedName>
    <definedName name="formacio3_2022">'Participant 3'!$K$45</definedName>
    <definedName name="formacio3_2023">'Participant 3'!$L$45</definedName>
    <definedName name="formacio4_2016">'Participant 4'!$E$45</definedName>
    <definedName name="formacio4_2017">'Participant 4'!$F$45</definedName>
    <definedName name="formacio4_2018">'Participant 4'!$G$45</definedName>
    <definedName name="formacio4_2019">'Participant 4'!$H$45</definedName>
    <definedName name="formacio4_2020">'Participant 4'!$I$45</definedName>
    <definedName name="formacio4_2021">'Participant 4'!$J$45</definedName>
    <definedName name="formacio4_2022">'Participant 4'!$K$45</definedName>
    <definedName name="formacio4_2023">'Participant 4'!$L$45</definedName>
    <definedName name="formacio5_2016">'Participant 5'!$E$45</definedName>
    <definedName name="formacio5_2017">'Participant 5'!$F$45</definedName>
    <definedName name="formacio5_2018">'Participant 5'!$G$45</definedName>
    <definedName name="formacio5_2019">'Participant 5'!$H$45</definedName>
    <definedName name="formacio5_2020">'Participant 5'!$I$45</definedName>
    <definedName name="formacio5_2021">'Participant 5'!$J$45</definedName>
    <definedName name="formacio5_2022">'Participant 5'!$K$45</definedName>
    <definedName name="formacio5_2023">'Participant 5'!$L$45</definedName>
    <definedName name="formacio6_2016">'Participant 6'!$E$45</definedName>
    <definedName name="formacio6_2017">'Participant 6'!$F$45</definedName>
    <definedName name="formacio6_2018">'Participant 6'!$G$45</definedName>
    <definedName name="formacio6_2019">'Participant 6'!$H$45</definedName>
    <definedName name="formacio6_2020">'Participant 6'!$I$45</definedName>
    <definedName name="formacio6_2021">'Participant 6'!$J$45</definedName>
    <definedName name="formacio6_2022">'Participant 6'!$K$45</definedName>
    <definedName name="formacio6_2023">'Participant 6'!$L$45</definedName>
    <definedName name="formacio7_2016">'Participant 7'!$E$45</definedName>
    <definedName name="formacio7_2017">'Participant 7'!$F$45</definedName>
    <definedName name="formacio7_2018">'Participant 7'!$G$45</definedName>
    <definedName name="formacio7_2019">'Participant 7'!$H$45</definedName>
    <definedName name="formacio7_2020">'Participant 7'!$I$45</definedName>
    <definedName name="formacio7_2021">'Participant 7'!$J$45</definedName>
    <definedName name="formacio7_2022">'Participant 7'!$K$45</definedName>
    <definedName name="formacio7_2023">'Participant 7'!$L$45</definedName>
    <definedName name="formacio8_2016">'Participant 8'!$E$45</definedName>
    <definedName name="formacio8_2017">'Participant 8'!$F$45</definedName>
    <definedName name="formacio8_2018">'Participant 8'!$G$45</definedName>
    <definedName name="formacio8_2019">'Participant 8'!$H$45</definedName>
    <definedName name="formacio8_2020">'Participant 8'!$I$45</definedName>
    <definedName name="formacio8_2021">'Participant 8'!$J$45</definedName>
    <definedName name="formacio8_2022">'Participant 8'!$K$45</definedName>
    <definedName name="formacio8_2023">'Participant 8'!$L$45</definedName>
    <definedName name="formacio9_2016">'Participant 9 '!$E$45</definedName>
    <definedName name="formacio9_2017">'Participant 9 '!$F$45</definedName>
    <definedName name="formacio9_2018">'Participant 9 '!$G$45</definedName>
    <definedName name="formacio9_2019">'Participant 9 '!$H$45</definedName>
    <definedName name="formacio9_2020">'Participant 9 '!$I$45</definedName>
    <definedName name="formacio9_2021">'Participant 9 '!$J$45</definedName>
    <definedName name="formacio9_2022">'Participant 9 '!$K$45</definedName>
    <definedName name="formacio9_2023">'Participant 9 '!$L$45</definedName>
    <definedName name="indicadors" localSheetId="10">#REF!</definedName>
    <definedName name="indicadors" localSheetId="11">#REF!</definedName>
    <definedName name="indicadors" localSheetId="5">#REF!</definedName>
    <definedName name="indicadors" localSheetId="6">#REF!</definedName>
    <definedName name="indicadors" localSheetId="7">#REF!</definedName>
    <definedName name="indicadors" localSheetId="9">#REF!</definedName>
    <definedName name="indicadors">#REF!</definedName>
    <definedName name="infraestructures1_2016">Sol·licitant!$E$40</definedName>
    <definedName name="infraestructures1_2017">'Participant 1'!$F$39</definedName>
    <definedName name="infraestructures1_2018">'Participant 1'!$G$39</definedName>
    <definedName name="infraestructures1_2019">'Participant 1'!$H$39</definedName>
    <definedName name="infraestructures1_2020">'Participant 1'!$I$39</definedName>
    <definedName name="infraestructures1_2021">'Participant 1'!$J$39</definedName>
    <definedName name="infraestructures1_2022">'Participant 1'!$K$39</definedName>
    <definedName name="infraestructures1_2023">'Participant 1'!$L$39</definedName>
    <definedName name="infraestructures10_2016">'Participant 10'!$E$39</definedName>
    <definedName name="infraestructures10_2017">'Participant 10'!$F$39</definedName>
    <definedName name="infraestructures10_2018">'Participant 10'!$G$39</definedName>
    <definedName name="infraestructures10_2019">'Participant 10'!$H$39</definedName>
    <definedName name="infraestructures10_2020">'Participant 10'!$I$39</definedName>
    <definedName name="infraestructures10_2021">'Participant 10'!$J$39</definedName>
    <definedName name="infraestructures10_2022">'Participant 10'!$K$39</definedName>
    <definedName name="infraestructures10_2023">'Participant 10'!$L$39</definedName>
    <definedName name="infraestructures11_2016">'Participant 11'!$E$39</definedName>
    <definedName name="infraestructures11_2017">'Participant 11'!$F$39</definedName>
    <definedName name="infraestructures11_2018">'Participant 11'!$G$39</definedName>
    <definedName name="infraestructures11_2019">'Participant 11'!$H$39</definedName>
    <definedName name="infraestructures11_2020">'Participant 11'!$I$39</definedName>
    <definedName name="infraestructures11_2021">'Participant 11'!$J$39</definedName>
    <definedName name="infraestructures11_2022">'Participant 11'!$K$39</definedName>
    <definedName name="infraestructures11_2023">'Participant 11'!$L$39</definedName>
    <definedName name="infraestructures2_2016">'Participant 2'!$E$39</definedName>
    <definedName name="infraestructures2_2017">'Participant 2'!$F$39</definedName>
    <definedName name="infraestructures2_2018">'Participant 2'!$G$39</definedName>
    <definedName name="infraestructures2_2019">'Participant 2'!$H$39</definedName>
    <definedName name="infraestructures2_2020">'Participant 2'!$I$39</definedName>
    <definedName name="infraestructures2_2021">'Participant 2'!$J$39</definedName>
    <definedName name="infraestructures2_2022">'Participant 2'!$K$39</definedName>
    <definedName name="infraestructures2_2023">'Participant 2'!$L$39</definedName>
    <definedName name="infraestructures2016">'Participant 1'!$E$39</definedName>
    <definedName name="infraestructures2017">Sol·licitant!$F$40</definedName>
    <definedName name="infraestructures2018">Sol·licitant!$G$40</definedName>
    <definedName name="infraestructures2019">Sol·licitant!$H$40</definedName>
    <definedName name="infraestructures2020">Sol·licitant!$I$40</definedName>
    <definedName name="infraestructures2021">Sol·licitant!$J$40</definedName>
    <definedName name="infraestructures2022">Sol·licitant!$K$40</definedName>
    <definedName name="infraestructures2023">Sol·licitant!$L$40</definedName>
    <definedName name="infraestructures3_2016">'Participant 3'!$E$39</definedName>
    <definedName name="infraestructures3_2017">'Participant 3'!$F$39</definedName>
    <definedName name="infraestructures3_2018">'Participant 3'!$G$39</definedName>
    <definedName name="infraestructures3_2019">'Participant 3'!$H$39</definedName>
    <definedName name="infraestructures3_2020">'Participant 3'!$I$39</definedName>
    <definedName name="infraestructures3_2021">'Participant 3'!$J$39</definedName>
    <definedName name="infraestructures3_2022">'Participant 3'!$K$39</definedName>
    <definedName name="infraestructures3_2023">'Participant 3'!$L$39</definedName>
    <definedName name="infraestructures4_2016">'Participant 4'!$E$39</definedName>
    <definedName name="infraestructures4_2017">'Participant 4'!$F$39</definedName>
    <definedName name="infraestructures4_2018">'Participant 4'!$G$39</definedName>
    <definedName name="infraestructures4_2019">'Participant 4'!$H$39</definedName>
    <definedName name="infraestructures4_2020">'Participant 4'!$I$39</definedName>
    <definedName name="infraestructures4_2021">'Participant 4'!$J$39</definedName>
    <definedName name="infraestructures4_2022">'Participant 4'!$K$39</definedName>
    <definedName name="infraestructures4_2023">'Participant 4'!$L$39</definedName>
    <definedName name="infraestructures5_2016">'Participant 5'!$E$39</definedName>
    <definedName name="infraestructures5_2017">'Participant 5'!$F$39</definedName>
    <definedName name="infraestructures5_2018">'Participant 5'!$G$39</definedName>
    <definedName name="infraestructures5_2019">'Participant 5'!$H$39</definedName>
    <definedName name="infraestructures5_2020">'Participant 5'!$I$39</definedName>
    <definedName name="infraestructures5_2021">'Participant 5'!$J$39</definedName>
    <definedName name="infraestructures5_2022">'Participant 5'!$K$39</definedName>
    <definedName name="infraestructures5_2023">'Participant 5'!$L$39</definedName>
    <definedName name="infraestructures6_2016">'Participant 6'!$E$39</definedName>
    <definedName name="infraestructures6_2017">'Participant 6'!$F$39</definedName>
    <definedName name="infraestructures6_2018">'Participant 6'!$G$39</definedName>
    <definedName name="infraestructures6_2019">'Participant 6'!$H$39</definedName>
    <definedName name="infraestructures6_2020">'Participant 6'!$I$39</definedName>
    <definedName name="infraestructures6_2021">'Participant 6'!$J$39</definedName>
    <definedName name="infraestructures6_2022">'Participant 6'!$K$39</definedName>
    <definedName name="infraestructures6_2023">'Participant 6'!$L$39</definedName>
    <definedName name="infraestructures7_2016">'Participant 7'!$E$39</definedName>
    <definedName name="infraestructures7_2017">'Participant 7'!$F$39</definedName>
    <definedName name="infraestructures7_2018">'Participant 7'!$G$39</definedName>
    <definedName name="infraestructures7_2019">'Participant 7'!$H$39</definedName>
    <definedName name="infraestructures7_2020">'Participant 7'!$I$39</definedName>
    <definedName name="infraestructures7_2021">'Participant 7'!$J$39</definedName>
    <definedName name="infraestructures7_2022">'Participant 7'!$K$39</definedName>
    <definedName name="infraestructures7_2023">'Participant 7'!$L$39</definedName>
    <definedName name="infraestructures8_2016">'Participant 8'!$E$39</definedName>
    <definedName name="infraestructures8_2017">'Participant 8'!$F$39</definedName>
    <definedName name="infraestructures8_2018">'Participant 8'!$G$39</definedName>
    <definedName name="infraestructures8_2019">'Participant 8'!$H$39</definedName>
    <definedName name="infraestructures8_2020">'Participant 8'!$I$39</definedName>
    <definedName name="infraestructures8_2021">'Participant 8'!$J$39</definedName>
    <definedName name="infraestructures8_2022">'Participant 8'!$K$39</definedName>
    <definedName name="infraestructures8_2023">'Participant 8'!$L$39</definedName>
    <definedName name="infraestructures9_2016">'Participant 9 '!$E$39</definedName>
    <definedName name="infraestructures9_2017">'Participant 9 '!$F$39</definedName>
    <definedName name="infraestructures9_2018">'Participant 9 '!$G$39</definedName>
    <definedName name="infraestructures9_2019">'Participant 9 '!$H$39</definedName>
    <definedName name="infraestructures9_2020">'Participant 9 '!$I$39</definedName>
    <definedName name="infraestructures9_2021">'Participant 9 '!$J$39</definedName>
    <definedName name="infraestructures9_2022">'Participant 9 '!$K$39</definedName>
    <definedName name="infraestructures9_2023">'Participant 9 '!$L$39</definedName>
    <definedName name="ingressos1_2016">Sol·licitant!$E$47</definedName>
    <definedName name="ingressos1_2017">'Participant 1'!$F$46</definedName>
    <definedName name="ingressos1_2018">'Participant 1'!$G$46</definedName>
    <definedName name="ingressos1_2019">'Participant 1'!$H$46</definedName>
    <definedName name="ingressos1_2020">'Participant 1'!$I$46</definedName>
    <definedName name="ingressos1_2021">'Participant 1'!$J$46</definedName>
    <definedName name="ingressos1_2022">'Participant 1'!$K$46</definedName>
    <definedName name="ingressos1_2023">'Participant 1'!$L$46</definedName>
    <definedName name="ingressos10_2016">'Participant 10'!$E$46</definedName>
    <definedName name="ingressos10_2017">'Participant 10'!$F$46</definedName>
    <definedName name="ingressos10_2018">'Participant 10'!$G$46</definedName>
    <definedName name="ingressos10_2019">'Participant 10'!$H$46</definedName>
    <definedName name="ingressos10_2020">'Participant 10'!$I$46</definedName>
    <definedName name="ingressos10_2021">'Participant 10'!$J$46</definedName>
    <definedName name="ingressos10_2022">'Participant 10'!$K$46</definedName>
    <definedName name="ingressos10_2023">'Participant 10'!$L$46</definedName>
    <definedName name="ingressos11_2016">'Participant 11'!$E$46</definedName>
    <definedName name="ingressos11_2017">'Participant 11'!$F$46</definedName>
    <definedName name="ingressos11_2018">'Participant 11'!$G$46</definedName>
    <definedName name="ingressos11_2019">'Participant 11'!$H$46</definedName>
    <definedName name="ingressos11_2020">'Participant 11'!$I$46</definedName>
    <definedName name="ingressos11_2021">'Participant 11'!$J$46</definedName>
    <definedName name="ingressos11_2022">'Participant 11'!$K$46</definedName>
    <definedName name="ingressos11_2023">'Participant 11'!$L$46</definedName>
    <definedName name="ingressos2_2016">'Participant 2'!$E$46</definedName>
    <definedName name="ingressos2_2017">'Participant 2'!$F$46</definedName>
    <definedName name="ingressos2_2018">'Participant 2'!$G$46</definedName>
    <definedName name="ingressos2_2019">'Participant 2'!$H$46</definedName>
    <definedName name="ingressos2_2020">'Participant 2'!$I$46</definedName>
    <definedName name="ingressos2_2021">'Participant 2'!$J$46</definedName>
    <definedName name="ingressos2_2022">'Participant 2'!$K$46</definedName>
    <definedName name="ingressos2_2023">'Participant 2'!$L$46</definedName>
    <definedName name="ingressos2016">'Participant 1'!$E$46</definedName>
    <definedName name="ingressos2017">Sol·licitant!$F$47</definedName>
    <definedName name="ingressos2018">Sol·licitant!$G$47</definedName>
    <definedName name="ingressos2019">Sol·licitant!$H$47</definedName>
    <definedName name="ingressos2020">Sol·licitant!$I$47</definedName>
    <definedName name="ingressos2021">Sol·licitant!$J$47</definedName>
    <definedName name="ingressos2022">Sol·licitant!$K$47</definedName>
    <definedName name="ingressos2023">Sol·licitant!$L$47</definedName>
    <definedName name="ingressos3_2016">'Participant 3'!$E$46</definedName>
    <definedName name="ingressos3_2017">'Participant 3'!$F$46</definedName>
    <definedName name="ingressos3_2018">'Participant 3'!$G$46</definedName>
    <definedName name="ingressos3_2019">'Participant 3'!$H$46</definedName>
    <definedName name="ingressos3_2020">'Participant 3'!$I$46</definedName>
    <definedName name="ingressos3_2021">'Participant 3'!$J$46</definedName>
    <definedName name="ingressos3_2022">'Participant 3'!$K$46</definedName>
    <definedName name="ingressos3_2023">'Participant 3'!$L$46</definedName>
    <definedName name="ingressos4_2016">'Participant 4'!$E$46</definedName>
    <definedName name="ingressos4_2017">'Participant 4'!$F$46</definedName>
    <definedName name="ingressos4_2018">'Participant 4'!$G$46</definedName>
    <definedName name="ingressos4_2019">'Participant 4'!$H$46</definedName>
    <definedName name="ingressos4_2020">'Participant 4'!$I$46</definedName>
    <definedName name="ingressos4_2021">'Participant 4'!$J$46</definedName>
    <definedName name="ingressos4_2022">'Participant 4'!$K$46</definedName>
    <definedName name="ingressos4_2023">'Participant 4'!$L$46</definedName>
    <definedName name="ingressos5_2016">'Participant 5'!$E$46</definedName>
    <definedName name="ingressos5_2017">'Participant 5'!$F$46</definedName>
    <definedName name="ingressos5_2018">'Participant 5'!$G$46</definedName>
    <definedName name="ingressos5_2019">'Participant 5'!$H$46</definedName>
    <definedName name="ingressos5_2020">'Participant 5'!$I$46</definedName>
    <definedName name="ingressos5_2021">'Participant 5'!$J$46</definedName>
    <definedName name="ingressos5_2022">'Participant 5'!$K$46</definedName>
    <definedName name="ingressos5_2023">'Participant 5'!$L$46</definedName>
    <definedName name="ingressos6_2016">'Participant 6'!$E$46</definedName>
    <definedName name="ingressos6_2017">'Participant 6'!$F$46</definedName>
    <definedName name="ingressos6_2018">'Participant 6'!$G$46</definedName>
    <definedName name="ingressos6_2019">'Participant 6'!$H$46</definedName>
    <definedName name="ingressos6_2020">'Participant 6'!$I$46</definedName>
    <definedName name="ingressos6_2021">'Participant 6'!$J$46</definedName>
    <definedName name="ingressos6_2022">'Participant 6'!$K$46</definedName>
    <definedName name="ingressos6_2023">'Participant 6'!$L$46</definedName>
    <definedName name="ingressos7_2016">'Participant 7'!$E$46</definedName>
    <definedName name="ingressos7_2017">'Participant 7'!$F$46</definedName>
    <definedName name="ingressos7_2018">'Participant 7'!$G$46</definedName>
    <definedName name="ingressos7_2019">'Participant 7'!$H$46</definedName>
    <definedName name="ingressos7_2020">'Participant 7'!$I$46</definedName>
    <definedName name="ingressos7_2021">'Participant 7'!$J$46</definedName>
    <definedName name="ingressos7_2022">'Participant 7'!$K$46</definedName>
    <definedName name="ingressos7_2023">'Participant 7'!$L$46</definedName>
    <definedName name="ingressos8_2016">'Participant 8'!$E$46</definedName>
    <definedName name="ingressos8_2017">'Participant 8'!$F$46</definedName>
    <definedName name="ingressos8_2018">'Participant 8'!$G$46</definedName>
    <definedName name="ingressos8_2019">'Participant 8'!$H$46</definedName>
    <definedName name="ingressos8_2020">'Participant 8'!$I$46</definedName>
    <definedName name="ingressos8_2021">'Participant 8'!$J$46</definedName>
    <definedName name="ingressos8_2022">'Participant 8'!$K$46</definedName>
    <definedName name="ingressos8_2023">'Participant 8'!$L$46</definedName>
    <definedName name="ingressos9_2016">'Participant 9 '!$E$46</definedName>
    <definedName name="ingressos9_2017">'Participant 9 '!$F$46</definedName>
    <definedName name="ingressos9_2018">'Participant 9 '!$G$46</definedName>
    <definedName name="ingressos9_2019">'Participant 9 '!$H$46</definedName>
    <definedName name="ingressos9_2020">'Participant 9 '!$I$46</definedName>
    <definedName name="ingressos9_2021">'Participant 9 '!$J$46</definedName>
    <definedName name="ingressos9_2022">'Participant 9 '!$K$46</definedName>
    <definedName name="ingressos9_2023">'Participant 9 '!$L$46</definedName>
    <definedName name="innoven1_2016">Sol·licitant!$E$44</definedName>
    <definedName name="innoven1_2017">'Participant 1'!$F$43</definedName>
    <definedName name="innoven1_2018">'Participant 1'!$G$43</definedName>
    <definedName name="innoven1_2019">'Participant 1'!$H$43</definedName>
    <definedName name="innoven1_2020">'Participant 1'!$I$43</definedName>
    <definedName name="innoven1_2021">'Participant 1'!$J$43</definedName>
    <definedName name="innoven1_2022">'Participant 1'!$K$43</definedName>
    <definedName name="innoven1_2023">'Participant 1'!$L$43</definedName>
    <definedName name="innoven10_2016">'Participant 10'!$E$43</definedName>
    <definedName name="innoven10_2017">'Participant 10'!$F$43</definedName>
    <definedName name="innoven10_2018">'Participant 10'!$G$43</definedName>
    <definedName name="innoven10_2019">'Participant 10'!$H$43</definedName>
    <definedName name="innoven10_2020">'Participant 10'!$I$43</definedName>
    <definedName name="innoven10_2021">'Participant 10'!$J$43</definedName>
    <definedName name="innoven10_2022">'Participant 10'!$K$43</definedName>
    <definedName name="innoven10_2023">'Participant 10'!$L$43</definedName>
    <definedName name="innoven11_2016">'Participant 11'!$E$43</definedName>
    <definedName name="innoven11_2017">'Participant 11'!$F$43</definedName>
    <definedName name="innoven11_2018">'Participant 11'!$G$43</definedName>
    <definedName name="innoven11_2019">'Participant 11'!$H$43</definedName>
    <definedName name="innoven11_2020">'Participant 11'!$I$43</definedName>
    <definedName name="innoven11_2021">'Participant 11'!$J$43</definedName>
    <definedName name="innoven11_2022">'Participant 11'!$K$43</definedName>
    <definedName name="innoven11_2023">'Participant 11'!$L$43</definedName>
    <definedName name="innoven2_2016">'Participant 2'!$E$43</definedName>
    <definedName name="innoven2_2017">'Participant 2'!$F$43</definedName>
    <definedName name="innoven2_2018">'Participant 2'!$G$43</definedName>
    <definedName name="innoven2_2019">'Participant 2'!$H$43</definedName>
    <definedName name="innoven2_2020">'Participant 2'!$I$43</definedName>
    <definedName name="innoven2_2021">'Participant 2'!$J$43</definedName>
    <definedName name="innoven2_2022">'Participant 2'!$K$43</definedName>
    <definedName name="innoven2_2023">'Participant 2'!$L$43</definedName>
    <definedName name="innoven2016">'Participant 1'!$E$43</definedName>
    <definedName name="innoven2017">Sol·licitant!$F$44</definedName>
    <definedName name="innoven2018">Sol·licitant!$G$44</definedName>
    <definedName name="innoven2019">Sol·licitant!$H$44</definedName>
    <definedName name="innoven2020">Sol·licitant!$I$44</definedName>
    <definedName name="innoven2021">Sol·licitant!$J$44</definedName>
    <definedName name="innoven2022">Sol·licitant!$K$44</definedName>
    <definedName name="innoven2023">Sol·licitant!$L$44</definedName>
    <definedName name="innoven3_2016">'Participant 3'!$E$43</definedName>
    <definedName name="innoven3_2017">'Participant 3'!$F$43</definedName>
    <definedName name="innoven3_2018">'Participant 3'!$G$43</definedName>
    <definedName name="innoven3_2019">'Participant 3'!$H$43</definedName>
    <definedName name="innoven3_2020">'Participant 3'!$I$43</definedName>
    <definedName name="innoven3_2021">'Participant 3'!$J$43</definedName>
    <definedName name="innoven3_2022">'Participant 3'!$K$43</definedName>
    <definedName name="innoven3_2023">'Participant 3'!$L$43</definedName>
    <definedName name="innoven4_2016">'Participant 4'!$E$43</definedName>
    <definedName name="innoven4_2017">'Participant 4'!$F$43</definedName>
    <definedName name="innoven4_2018">'Participant 4'!$G$43</definedName>
    <definedName name="innoven4_2019">'Participant 4'!$H$43</definedName>
    <definedName name="innoven4_2020">'Participant 4'!$I$43</definedName>
    <definedName name="innoven4_2021">'Participant 4'!$J$43</definedName>
    <definedName name="innoven4_2022">'Participant 4'!$K$43</definedName>
    <definedName name="innoven4_2023">'Participant 4'!$L$43</definedName>
    <definedName name="innoven5_2016">'Participant 5'!$E$43</definedName>
    <definedName name="innoven5_2017">'Participant 5'!$F$43</definedName>
    <definedName name="innoven5_2018">'Participant 5'!$G$43</definedName>
    <definedName name="innoven5_2019">'Participant 5'!$H$43</definedName>
    <definedName name="innoven5_2020">'Participant 5'!$I$43</definedName>
    <definedName name="innoven5_2021">'Participant 5'!$J$43</definedName>
    <definedName name="innoven5_2022">'Participant 5'!$K$43</definedName>
    <definedName name="innoven5_2023">'Participant 5'!$L$43</definedName>
    <definedName name="innoven6_2016">'Participant 6'!$E$43</definedName>
    <definedName name="innoven6_2017">'Participant 6'!$F$43</definedName>
    <definedName name="innoven6_2018">'Participant 6'!$G$43</definedName>
    <definedName name="innoven6_2019">'Participant 6'!$H$43</definedName>
    <definedName name="innoven6_2020">'Participant 6'!$I$43</definedName>
    <definedName name="innoven6_2021">'Participant 6'!$J$43</definedName>
    <definedName name="innoven6_2022">'Participant 6'!$K$43</definedName>
    <definedName name="innoven6_2023">'Participant 6'!$L$43</definedName>
    <definedName name="innoven7_2016">'Participant 7'!$E$43</definedName>
    <definedName name="innoven7_2017">'Participant 7'!$F$43</definedName>
    <definedName name="innoven7_2018">'Participant 7'!$G$43</definedName>
    <definedName name="innoven7_2019">'Participant 7'!$H$43</definedName>
    <definedName name="innoven7_2020">'Participant 7'!$I$43</definedName>
    <definedName name="innoven7_2021">'Participant 7'!$J$43</definedName>
    <definedName name="innoven7_2022">'Participant 7'!$K$43</definedName>
    <definedName name="innoven7_2023">'Participant 7'!$L$43</definedName>
    <definedName name="innoven8_2016">'Participant 8'!$E$43</definedName>
    <definedName name="innoven8_2017">'Participant 8'!$F$43</definedName>
    <definedName name="innoven8_2018">'Participant 8'!$G$43</definedName>
    <definedName name="innoven8_2019">'Participant 8'!$H$43</definedName>
    <definedName name="innoven8_2020">'Participant 8'!$I$43</definedName>
    <definedName name="innoven8_2021">'Participant 8'!$J$43</definedName>
    <definedName name="innoven8_2022">'Participant 8'!$K$43</definedName>
    <definedName name="innoven8_2023">'Participant 8'!$L$43</definedName>
    <definedName name="innoven9_2016">'Participant 9 '!$E$43</definedName>
    <definedName name="innoven9_2017">'Participant 9 '!$F$43</definedName>
    <definedName name="innoven9_2018">'Participant 9 '!$G$43</definedName>
    <definedName name="innoven9_2019">'Participant 9 '!$H$43</definedName>
    <definedName name="innoven9_2020">'Participant 9 '!$I$43</definedName>
    <definedName name="innoven9_2021">'Participant 9 '!$J$43</definedName>
    <definedName name="innoven9_2022">'Participant 9 '!$K$43</definedName>
    <definedName name="innoven9_2023">'Participant 9 '!$L$43</definedName>
    <definedName name="investigadorsdones1_2016">Sol·licitant!$E$23</definedName>
    <definedName name="investigadorsdones1_2017">'Participant 1'!$F$22</definedName>
    <definedName name="investigadorsdones1_2018">'Participant 1'!$G$22</definedName>
    <definedName name="investigadorsdones1_2019">'Participant 1'!$H$22</definedName>
    <definedName name="investigadorsdones1_2020">'Participant 1'!$I$22</definedName>
    <definedName name="investigadorsdones1_2021">'Participant 1'!$J$22</definedName>
    <definedName name="investigadorsdones1_2022">'Participant 1'!$K$22</definedName>
    <definedName name="investigadorsdones1_2023">'Participant 1'!$L$22</definedName>
    <definedName name="investigadorsdones10_2016">'Participant 10'!$E$22</definedName>
    <definedName name="investigadorsdones10_2017">'Participant 10'!$F$22</definedName>
    <definedName name="investigadorsdones10_2018">'Participant 10'!$G$22</definedName>
    <definedName name="investigadorsdones10_2019">'Participant 10'!$H$22</definedName>
    <definedName name="investigadorsdones10_2020">'Participant 10'!$I$22</definedName>
    <definedName name="investigadorsdones10_2021">'Participant 10'!$J$22</definedName>
    <definedName name="investigadorsdones10_2022">'Participant 10'!$K$22</definedName>
    <definedName name="investigadorsdones10_2023">'Participant 10'!$L$22</definedName>
    <definedName name="investigadorsdones11_2016">'Participant 11'!$E$22</definedName>
    <definedName name="investigadorsdones11_2017">'Participant 11'!$F$22</definedName>
    <definedName name="investigadorsdones11_2018">'Participant 11'!$G$22</definedName>
    <definedName name="investigadorsdones11_2019">'Participant 11'!$H$22</definedName>
    <definedName name="investigadorsdones11_2020">'Participant 11'!$I$22</definedName>
    <definedName name="investigadorsdones11_2021">'Participant 11'!$J$22</definedName>
    <definedName name="investigadorsdones11_2022">'Participant 11'!$K$22</definedName>
    <definedName name="investigadorsdones11_2023">'Participant 11'!$L$22</definedName>
    <definedName name="investigadorsdones2_2016">'Participant 2'!$E$22</definedName>
    <definedName name="investigadorsdones2_2017">'Participant 2'!$F$22</definedName>
    <definedName name="investigadorsdones2_2018">'Participant 2'!$G$22</definedName>
    <definedName name="investigadorsdones2_2019">'Participant 2'!$H$22</definedName>
    <definedName name="investigadorsdones2_2020">'Participant 2'!$I$22</definedName>
    <definedName name="investigadorsdones2_2021">'Participant 2'!$J$22</definedName>
    <definedName name="investigadorsdones2_2022">'Participant 2'!$K$22</definedName>
    <definedName name="investigadorsdones2_2023">'Participant 2'!$L$22</definedName>
    <definedName name="investigadorsdones2016">'Participant 1'!$E$22</definedName>
    <definedName name="investigadorsdones2017">Sol·licitant!$F$23</definedName>
    <definedName name="investigadorsdones2018">Sol·licitant!$G$23</definedName>
    <definedName name="investigadorsdones2019">Sol·licitant!$H$23</definedName>
    <definedName name="investigadorsdones2020">Sol·licitant!$I$23</definedName>
    <definedName name="investigadorsdones2021">Sol·licitant!$J$23</definedName>
    <definedName name="investigadorsdones2022">Sol·licitant!$K$23</definedName>
    <definedName name="investigadorsdones2023">Sol·licitant!$L$23</definedName>
    <definedName name="investigadorsdones3_2016">'Participant 3'!$E$22</definedName>
    <definedName name="investigadorsdones3_2017">'Participant 3'!$F$22</definedName>
    <definedName name="investigadorsdones3_2018">'Participant 3'!$G$22</definedName>
    <definedName name="investigadorsdones3_2019">'Participant 3'!$H$22</definedName>
    <definedName name="investigadorsdones3_2020">'Participant 3'!$I$22</definedName>
    <definedName name="investigadorsdones3_2021">'Participant 3'!$J$22</definedName>
    <definedName name="investigadorsdones3_2022">'Participant 3'!$K$22</definedName>
    <definedName name="investigadorsdones3_2023">'Participant 3'!$L$22</definedName>
    <definedName name="investigadorsdones4_2016">'Participant 4'!$E$22</definedName>
    <definedName name="investigadorsdones4_2017">'Participant 4'!$F$22</definedName>
    <definedName name="investigadorsdones4_2018">'Participant 4'!$G$22</definedName>
    <definedName name="investigadorsdones4_2019">'Participant 4'!$H$22</definedName>
    <definedName name="investigadorsdones4_2020">'Participant 4'!$I$22</definedName>
    <definedName name="investigadorsdones4_2021">'Participant 4'!$J$22</definedName>
    <definedName name="investigadorsdones4_2022">'Participant 4'!$K$22</definedName>
    <definedName name="investigadorsdones4_2023">'Participant 4'!$L$22</definedName>
    <definedName name="investigadorsdones5_2016">'Participant 5'!$E$22</definedName>
    <definedName name="investigadorsdones5_2017">'Participant 5'!$F$22</definedName>
    <definedName name="investigadorsdones5_2018">'Participant 5'!$G$22</definedName>
    <definedName name="investigadorsdones5_2019">'Participant 5'!$H$22</definedName>
    <definedName name="investigadorsdones5_2020">'Participant 5'!$I$22</definedName>
    <definedName name="investigadorsdones5_2021">'Participant 5'!$J$22</definedName>
    <definedName name="investigadorsdones5_2022">'Participant 5'!$K$22</definedName>
    <definedName name="investigadorsdones5_2023">'Participant 5'!$L$22</definedName>
    <definedName name="investigadorsdones6_2016">'Participant 6'!$E$22</definedName>
    <definedName name="investigadorsdones6_2017">'Participant 6'!$F$22</definedName>
    <definedName name="investigadorsdones6_2018">'Participant 6'!$G$22</definedName>
    <definedName name="investigadorsdones6_2019">'Participant 6'!$H$22</definedName>
    <definedName name="investigadorsdones6_2020">'Participant 6'!$I$22</definedName>
    <definedName name="investigadorsdones6_2021">'Participant 6'!$J$22</definedName>
    <definedName name="investigadorsdones6_2022">'Participant 6'!$K$22</definedName>
    <definedName name="investigadorsdones6_2023">'Participant 6'!$L$22</definedName>
    <definedName name="investigadorsdones7_2016">'Participant 7'!$E$22</definedName>
    <definedName name="investigadorsdones7_2017">'Participant 7'!$F$22</definedName>
    <definedName name="investigadorsdones7_2018">'Participant 7'!$G$22</definedName>
    <definedName name="investigadorsdones7_2019">'Participant 7'!$H$22</definedName>
    <definedName name="investigadorsdones7_2020">'Participant 7'!$I$22</definedName>
    <definedName name="investigadorsdones7_2021">'Participant 7'!$J$22</definedName>
    <definedName name="investigadorsdones7_2022">'Participant 7'!$K$22</definedName>
    <definedName name="investigadorsdones7_2023">'Participant 7'!$L$22</definedName>
    <definedName name="investigadorsdones8_2016">'Participant 8'!$E$22</definedName>
    <definedName name="investigadorsdones8_2017">'Participant 8'!$F$22</definedName>
    <definedName name="investigadorsdones8_2018">'Participant 8'!$G$22</definedName>
    <definedName name="investigadorsdones8_2019">'Participant 8'!$H$22</definedName>
    <definedName name="investigadorsdones8_2020">'Participant 8'!$I$22</definedName>
    <definedName name="investigadorsdones8_2021">'Participant 8'!$J$22</definedName>
    <definedName name="investigadorsdones8_2022">'Participant 8'!$K$22</definedName>
    <definedName name="investigadorsdones8_2023">'Participant 8'!$L$22</definedName>
    <definedName name="investigadorsdones9_2016">'Participant 9 '!$E$22</definedName>
    <definedName name="investigadorsdones9_2017">'Participant 9 '!$F$22</definedName>
    <definedName name="investigadorsdones9_2018">'Participant 9 '!$G$22</definedName>
    <definedName name="investigadorsdones9_2019">'Participant 9 '!$H$22</definedName>
    <definedName name="investigadorsdones9_2020">'Participant 9 '!$I$22</definedName>
    <definedName name="investigadorsdones9_2021">'Participant 9 '!$J$22</definedName>
    <definedName name="investigadorsdones9_2022">'Participant 9 '!$K$22</definedName>
    <definedName name="investigadorsdones9_2023">'Participant 9 '!$L$22</definedName>
    <definedName name="investigadorsdonesprojecte1_2017">'Participant 1'!$F$33</definedName>
    <definedName name="investigadorsdonesprojecte1_2018">'Participant 1'!$G$33</definedName>
    <definedName name="investigadorsdonesprojecte1_2019">'Participant 1'!$H$33</definedName>
    <definedName name="investigadorsdonesprojecte1_2020">'Participant 1'!$I$33</definedName>
    <definedName name="investigadorsdonesprojecte1_2021">'Participant 1'!$J$33</definedName>
    <definedName name="investigadorsdonesprojecte1_2022">'Participant 1'!$K$33</definedName>
    <definedName name="investigadorsdonesprojecte1_2023">'Participant 1'!$L$33</definedName>
    <definedName name="investigadorsdonesprojecte10_2016">'Participant 10'!$E$33</definedName>
    <definedName name="investigadorsdonesprojecte10_2017">'Participant 10'!$F$33</definedName>
    <definedName name="investigadorsdonesprojecte10_2018">'Participant 10'!$G$33</definedName>
    <definedName name="investigadorsdonesprojecte10_2019">'Participant 10'!$H$33</definedName>
    <definedName name="investigadorsdonesprojecte10_2020">'Participant 10'!$I$33</definedName>
    <definedName name="investigadorsdonesprojecte10_2021">'Participant 10'!$J$33</definedName>
    <definedName name="investigadorsdonesprojecte10_2022">'Participant 10'!$K$33</definedName>
    <definedName name="investigadorsdonesprojecte10_2023">'Participant 10'!$L$33</definedName>
    <definedName name="investigadorsdonesprojecte11_2016">'Participant 11'!$E$33</definedName>
    <definedName name="investigadorsdonesprojecte11_2017">'Participant 11'!$F$33</definedName>
    <definedName name="investigadorsdonesprojecte11_2018">'Participant 11'!$G$33</definedName>
    <definedName name="investigadorsdonesprojecte11_2019">'Participant 11'!$H$33</definedName>
    <definedName name="investigadorsdonesprojecte11_2020">'Participant 11'!$I$33</definedName>
    <definedName name="investigadorsdonesprojecte11_2021">'Participant 11'!$J$33</definedName>
    <definedName name="investigadorsdonesprojecte11_2022">'Participant 11'!$K$33</definedName>
    <definedName name="investigadorsdonesprojecte11_2023">'Participant 11'!$L$33</definedName>
    <definedName name="investigadorsdonesprojecte2_2017">'Participant 2'!$F$33</definedName>
    <definedName name="investigadorsdonesprojecte2_2018">'Participant 2'!$G$33</definedName>
    <definedName name="investigadorsdonesprojecte2_2019">'Participant 2'!$H$33</definedName>
    <definedName name="investigadorsdonesprojecte2_2020">'Participant 2'!$I$33</definedName>
    <definedName name="investigadorsdonesprojecte2_2021">'Participant 2'!$J$33</definedName>
    <definedName name="investigadorsdonesprojecte2_2022">'Participant 2'!$K$33</definedName>
    <definedName name="investigadorsdonesprojecte2_2023">'Participant 2'!$L$33</definedName>
    <definedName name="investigadorsdonesprojecte2016">'Participant 1'!$E$33</definedName>
    <definedName name="investigadorsdonesprojecte2017">Sol·licitant!$F$34</definedName>
    <definedName name="investigadorsdonesprojecte2018">Sol·licitant!$G$34</definedName>
    <definedName name="investigadorsdonesprojecte2019">Sol·licitant!$H$34</definedName>
    <definedName name="investigadorsdonesprojecte2020">Sol·licitant!$I$34</definedName>
    <definedName name="investigadorsdonesprojecte2021">Sol·licitant!$J$34</definedName>
    <definedName name="investigadorsdonesprojecte2022">Sol·licitant!$K$34</definedName>
    <definedName name="investigadorsdonesprojecte2023">Sol·licitant!$L$34</definedName>
    <definedName name="investigadorsdonesprojecte3_2016">'Participant 3'!$E$33</definedName>
    <definedName name="investigadorsdonesprojecte3_2017">'Participant 3'!$F$33</definedName>
    <definedName name="investigadorsdonesprojecte3_2018">'Participant 3'!$G$33</definedName>
    <definedName name="investigadorsdonesprojecte3_2019">'Participant 3'!$H$33</definedName>
    <definedName name="investigadorsdonesprojecte3_2020">'Participant 3'!$I$33</definedName>
    <definedName name="investigadorsdonesprojecte3_2021">'Participant 3'!$J$33</definedName>
    <definedName name="investigadorsdonesprojecte3_2022">'Participant 3'!$K$33</definedName>
    <definedName name="investigadorsdonesprojecte3_2023">'Participant 3'!$L$33</definedName>
    <definedName name="investigadorsdonesprojecte4_2016">'Participant 4'!$E$33</definedName>
    <definedName name="investigadorsdonesprojecte4_2017">'Participant 4'!$F$33</definedName>
    <definedName name="investigadorsdonesprojecte4_2018">'Participant 4'!$G$33</definedName>
    <definedName name="investigadorsdonesprojecte4_2019">'Participant 4'!$H$33</definedName>
    <definedName name="investigadorsdonesprojecte4_2020">'Participant 4'!$I$33</definedName>
    <definedName name="investigadorsdonesprojecte4_2021">'Participant 4'!$J$33</definedName>
    <definedName name="investigadorsdonesprojecte4_2022">'Participant 4'!$K$33</definedName>
    <definedName name="investigadorsdonesprojecte4_2023">'Participant 4'!$L$33</definedName>
    <definedName name="investigadorsdonesprojecte5_2016">'Participant 5'!$E$33</definedName>
    <definedName name="investigadorsdonesprojecte5_2017">'Participant 5'!$F$33</definedName>
    <definedName name="investigadorsdonesprojecte5_2018">'Participant 5'!$G$33</definedName>
    <definedName name="investigadorsdonesprojecte5_2019">'Participant 5'!$H$33</definedName>
    <definedName name="investigadorsdonesprojecte5_2020">'Participant 5'!$I$33</definedName>
    <definedName name="investigadorsdonesprojecte5_2021">'Participant 5'!$J$33</definedName>
    <definedName name="investigadorsdonesprojecte5_2022">'Participant 5'!$K$33</definedName>
    <definedName name="investigadorsdonesprojecte5_2023">'Participant 5'!$L$33</definedName>
    <definedName name="investigadorsdonesprojecte6_2016">'Participant 6'!$E$33</definedName>
    <definedName name="investigadorsdonesprojecte6_2017">'Participant 6'!$F$33</definedName>
    <definedName name="investigadorsdonesprojecte6_2018">'Participant 6'!$G$33</definedName>
    <definedName name="investigadorsdonesprojecte6_2019">'Participant 6'!$H$33</definedName>
    <definedName name="investigadorsdonesprojecte6_2020">'Participant 6'!$I$33</definedName>
    <definedName name="investigadorsdonesprojecte6_2021">'Participant 6'!$J$33</definedName>
    <definedName name="investigadorsdonesprojecte6_2022">'Participant 6'!$K$33</definedName>
    <definedName name="investigadorsdonesprojecte6_2023">'Participant 6'!$L$33</definedName>
    <definedName name="investigadorsdonesprojecte7_2016">'Participant 7'!$E$33</definedName>
    <definedName name="investigadorsdonesprojecte7_2017">'Participant 7'!$F$33</definedName>
    <definedName name="investigadorsdonesprojecte7_2018">'Participant 7'!$G$33</definedName>
    <definedName name="investigadorsdonesprojecte7_2019">'Participant 7'!$H$33</definedName>
    <definedName name="investigadorsdonesprojecte7_2020">'Participant 7'!$I$33</definedName>
    <definedName name="investigadorsdonesprojecte7_2021">'Participant 7'!$J$33</definedName>
    <definedName name="investigadorsdonesprojecte7_2022">'Participant 7'!$K$33</definedName>
    <definedName name="investigadorsdonesprojecte7_2023">'Participant 7'!$L$33</definedName>
    <definedName name="investigadorsdonesprojecte8_2016">'Participant 8'!$E$33</definedName>
    <definedName name="investigadorsdonesprojecte8_2017">'Participant 8'!$F$33</definedName>
    <definedName name="investigadorsdonesprojecte8_2018">'Participant 8'!$G$33</definedName>
    <definedName name="investigadorsdonesprojecte8_2019">'Participant 8'!$H$33</definedName>
    <definedName name="investigadorsdonesprojecte8_2020">'Participant 8'!$I$33</definedName>
    <definedName name="investigadorsdonesprojecte8_2021">'Participant 8'!$J$33</definedName>
    <definedName name="investigadorsdonesprojecte8_2022">'Participant 8'!$K$33</definedName>
    <definedName name="investigadorsdonesprojecte8_2023">'Participant 8'!$L$33</definedName>
    <definedName name="investigadorsdonesprojecte9_2017">'Participant 9 '!$F$33</definedName>
    <definedName name="investigadorsdonesprojecte9_2018">'Participant 9 '!$G$33</definedName>
    <definedName name="investigadorsdonesprojecte9_2019">'Participant 9 '!$H$33</definedName>
    <definedName name="investigadorsdonesprojecte9_2020">'Participant 9 '!$I$33</definedName>
    <definedName name="investigadorsdonesprojecte9_2021">'Participant 9 '!$J$33</definedName>
    <definedName name="investigadorsdonesprojecte9_2022">'Participant 9 '!$K$33</definedName>
    <definedName name="investigadorsdonesprojecte9_2023">'Participant 9 '!$L$33</definedName>
    <definedName name="investigadorshomes1_2016">Sol·licitant!$E$21</definedName>
    <definedName name="investigadorshomes1_2017">'Participant 1'!$F$20</definedName>
    <definedName name="investigadorshomes1_2018">'Participant 1'!$G$20</definedName>
    <definedName name="investigadorshomes1_2019">'Participant 1'!$H$20</definedName>
    <definedName name="investigadorshomes1_2020">'Participant 1'!$I$20</definedName>
    <definedName name="investigadorshomes1_2021">'Participant 1'!$J$20</definedName>
    <definedName name="investigadorshomes1_2022">'Participant 1'!$K$20</definedName>
    <definedName name="investigadorshomes1_2023">'Participant 1'!$L$20</definedName>
    <definedName name="investigadorshomes10_2016">'Participant 10'!$E$20</definedName>
    <definedName name="investigadorshomes10_2017">'Participant 10'!$F$20</definedName>
    <definedName name="investigadorshomes10_2018">'Participant 10'!$G$20</definedName>
    <definedName name="investigadorshomes10_2019">'Participant 10'!$H$20</definedName>
    <definedName name="investigadorshomes10_2020">'Participant 10'!$I$20</definedName>
    <definedName name="investigadorshomes10_2021">'Participant 10'!$J$20</definedName>
    <definedName name="investigadorshomes10_2022">'Participant 10'!$K$20</definedName>
    <definedName name="investigadorshomes10_2023">'Participant 10'!$L$20</definedName>
    <definedName name="investigadorshomes11_2016">'Participant 11'!$E$20</definedName>
    <definedName name="investigadorshomes11_2017">'Participant 11'!$F$20</definedName>
    <definedName name="investigadorshomes11_2018">'Participant 11'!$G$20</definedName>
    <definedName name="investigadorshomes11_2019">'Participant 11'!$H$20</definedName>
    <definedName name="investigadorshomes11_2020">'Participant 11'!$I$20</definedName>
    <definedName name="investigadorshomes11_2021">'Participant 11'!$J$20</definedName>
    <definedName name="investigadorshomes11_2022">'Participant 11'!$K$20</definedName>
    <definedName name="investigadorshomes11_2023">'Participant 11'!$L$20</definedName>
    <definedName name="investigadorshomes2_2016">'Participant 2'!$E$20</definedName>
    <definedName name="investigadorshomes2_2017">'Participant 2'!$F$20</definedName>
    <definedName name="investigadorshomes2_2018">'Participant 2'!$G$20</definedName>
    <definedName name="investigadorshomes2_2019">'Participant 2'!$H$20</definedName>
    <definedName name="investigadorshomes2_2020">'Participant 2'!$I$20</definedName>
    <definedName name="investigadorshomes2_2021">'Participant 2'!$J$20</definedName>
    <definedName name="investigadorshomes2_2022">'Participant 2'!$K$20</definedName>
    <definedName name="investigadorshomes2_2023">'Participant 2'!$L$20</definedName>
    <definedName name="investigadorshomes2016">'Participant 1'!$E$20</definedName>
    <definedName name="investigadorshomes2017">Sol·licitant!$F$21</definedName>
    <definedName name="investigadorshomes2018">Sol·licitant!$G$21</definedName>
    <definedName name="investigadorshomes2019">Sol·licitant!$H$21</definedName>
    <definedName name="investigadorshomes2020">Sol·licitant!$I$21</definedName>
    <definedName name="investigadorshomes2021">Sol·licitant!$J$21</definedName>
    <definedName name="investigadorshomes2022">Sol·licitant!$K$21</definedName>
    <definedName name="investigadorshomes2023">Sol·licitant!$L$21</definedName>
    <definedName name="investigadorshomes3_2016">'Participant 3'!$E$20</definedName>
    <definedName name="investigadorshomes3_2017">'Participant 3'!$F$20</definedName>
    <definedName name="investigadorshomes3_2018">'Participant 3'!$G$20</definedName>
    <definedName name="investigadorshomes3_2019">'Participant 3'!$H$20</definedName>
    <definedName name="investigadorshomes3_2020">'Participant 3'!$I$20</definedName>
    <definedName name="investigadorshomes3_2021">'Participant 3'!$J$20</definedName>
    <definedName name="investigadorshomes3_2022">'Participant 3'!$K$20</definedName>
    <definedName name="investigadorshomes3_2023">'Participant 3'!$L$20</definedName>
    <definedName name="investigadorshomes4_2016">'Participant 4'!$E$20</definedName>
    <definedName name="investigadorshomes4_2017">'Participant 4'!$F$20</definedName>
    <definedName name="investigadorshomes4_2018">'Participant 4'!$G$20</definedName>
    <definedName name="investigadorshomes4_2019">'Participant 4'!$H$20</definedName>
    <definedName name="investigadorshomes4_2020">'Participant 4'!$I$20</definedName>
    <definedName name="investigadorshomes4_2021">'Participant 4'!$J$20</definedName>
    <definedName name="investigadorshomes4_2022">'Participant 4'!$K$20</definedName>
    <definedName name="investigadorshomes4_2023">'Participant 4'!$L$20</definedName>
    <definedName name="investigadorshomes5_2016">'Participant 5'!$E$20</definedName>
    <definedName name="investigadorshomes5_2017">'Participant 5'!$F$20</definedName>
    <definedName name="investigadorshomes5_2018">'Participant 5'!$G$20</definedName>
    <definedName name="investigadorshomes5_2019">'Participant 5'!$H$20</definedName>
    <definedName name="investigadorshomes5_2020">'Participant 5'!$I$20</definedName>
    <definedName name="investigadorshomes5_2021">'Participant 5'!$J$20</definedName>
    <definedName name="investigadorshomes5_2022">'Participant 5'!$K$20</definedName>
    <definedName name="investigadorshomes5_2023">'Participant 5'!$L$20</definedName>
    <definedName name="investigadorshomes6_2016">'Participant 6'!$E$20</definedName>
    <definedName name="investigadorshomes6_2017">'Participant 6'!$F$20</definedName>
    <definedName name="investigadorshomes6_2018">'Participant 6'!$G$20</definedName>
    <definedName name="investigadorshomes6_2019">'Participant 6'!$H$20</definedName>
    <definedName name="investigadorshomes6_2020">'Participant 6'!$I$20</definedName>
    <definedName name="investigadorshomes6_2021">'Participant 6'!$J$20</definedName>
    <definedName name="investigadorshomes6_2022">'Participant 6'!$K$20</definedName>
    <definedName name="investigadorshomes6_2023">'Participant 6'!$L$20</definedName>
    <definedName name="investigadorshomes7_2016">'Participant 7'!$E$20</definedName>
    <definedName name="investigadorshomes7_2017">'Participant 7'!$F$20</definedName>
    <definedName name="investigadorshomes7_2018">'Participant 7'!$G$20</definedName>
    <definedName name="investigadorshomes7_2019">'Participant 7'!$H$20</definedName>
    <definedName name="investigadorshomes7_2020">'Participant 7'!$I$20</definedName>
    <definedName name="investigadorshomes7_2021">'Participant 7'!$J$20</definedName>
    <definedName name="investigadorshomes7_2022">'Participant 7'!$K$20</definedName>
    <definedName name="investigadorshomes7_2023">'Participant 7'!$L$20</definedName>
    <definedName name="investigadorshomes8_2016">'Participant 8'!$E$20</definedName>
    <definedName name="investigadorshomes8_2017">'Participant 8'!$F$20</definedName>
    <definedName name="investigadorshomes8_2018">'Participant 8'!$G$20</definedName>
    <definedName name="investigadorshomes8_2019">'Participant 8'!$H$20</definedName>
    <definedName name="investigadorshomes8_2020">'Participant 8'!$I$20</definedName>
    <definedName name="investigadorshomes8_2021">'Participant 8'!$J$20</definedName>
    <definedName name="investigadorshomes8_2022">'Participant 8'!$K$20</definedName>
    <definedName name="investigadorshomes8_2023">'Participant 8'!$L$20</definedName>
    <definedName name="investigadorshomes9_2016">'Participant 9 '!$E$20</definedName>
    <definedName name="investigadorshomes9_2017">'Participant 9 '!$F$20</definedName>
    <definedName name="investigadorshomes9_2018">'Participant 9 '!$G$20</definedName>
    <definedName name="investigadorshomes9_2019">'Participant 9 '!$H$20</definedName>
    <definedName name="investigadorshomes9_2020">'Participant 9 '!$I$20</definedName>
    <definedName name="investigadorshomes9_2021">'Participant 9 '!$J$20</definedName>
    <definedName name="investigadorshomes9_2022">'Participant 9 '!$K$20</definedName>
    <definedName name="investigadorshomes9_2023">'Participant 9 '!$L$20</definedName>
    <definedName name="investigadorshomesprojecte1_2016">Sol·licitant!$E$33</definedName>
    <definedName name="investigadorshomesprojecte1_2017">'Participant 1'!$F$32</definedName>
    <definedName name="investigadorshomesprojecte1_2018">'Participant 1'!$G$32</definedName>
    <definedName name="investigadorshomesprojecte1_2019">'Participant 1'!$H$32</definedName>
    <definedName name="investigadorshomesprojecte1_2020">'Participant 1'!$I$32</definedName>
    <definedName name="investigadorshomesprojecte1_2021">'Participant 1'!$J$32</definedName>
    <definedName name="investigadorshomesprojecte1_2022">'Participant 1'!$K$32</definedName>
    <definedName name="investigadorshomesprojecte1_2023">'Participant 1'!$L$32</definedName>
    <definedName name="investigadorshomesprojecte10_2016">'Participant 10'!$E$32</definedName>
    <definedName name="investigadorshomesprojecte10_2017">'Participant 10'!$F$32</definedName>
    <definedName name="investigadorshomesprojecte10_2018">'Participant 10'!$G$32</definedName>
    <definedName name="investigadorshomesprojecte10_2019">'Participant 10'!$H$32</definedName>
    <definedName name="investigadorshomesprojecte10_2020">'Participant 10'!$I$32</definedName>
    <definedName name="investigadorshomesprojecte10_2021">'Participant 10'!$J$32</definedName>
    <definedName name="investigadorshomesprojecte10_2022">'Participant 10'!$K$32</definedName>
    <definedName name="investigadorshomesprojecte10_2023">'Participant 10'!$L$32</definedName>
    <definedName name="investigadorshomesprojecte11_2016">'Participant 11'!$E$32</definedName>
    <definedName name="investigadorshomesprojecte11_2017">'Participant 11'!$F$32</definedName>
    <definedName name="investigadorshomesprojecte11_2018">'Participant 11'!$G$32</definedName>
    <definedName name="investigadorshomesprojecte11_2019">'Participant 11'!$H$32</definedName>
    <definedName name="investigadorshomesprojecte11_2020">'Participant 11'!$I$32</definedName>
    <definedName name="investigadorshomesprojecte11_2021">'Participant 11'!$J$32</definedName>
    <definedName name="investigadorshomesprojecte11_2022">'Participant 11'!$K$32</definedName>
    <definedName name="investigadorshomesprojecte11_2023">'Participant 11'!$L$32</definedName>
    <definedName name="investigadorshomesprojecte2_2016">'Participant 2'!$E$32</definedName>
    <definedName name="investigadorshomesprojecte2_2017">'Participant 2'!$F$32</definedName>
    <definedName name="investigadorshomesprojecte2_2018">'Participant 2'!$G$32</definedName>
    <definedName name="investigadorshomesprojecte2_2019">'Participant 2'!$H$32</definedName>
    <definedName name="investigadorshomesprojecte2_2020">'Participant 2'!$I$32</definedName>
    <definedName name="investigadorshomesprojecte2_2021">'Participant 2'!$J$32</definedName>
    <definedName name="investigadorshomesprojecte2_2022">'Participant 2'!$K$32</definedName>
    <definedName name="investigadorshomesprojecte2_2023">'Participant 2'!$L$32</definedName>
    <definedName name="investigadorshomesprojecte2016">'Participant 1'!$E$32</definedName>
    <definedName name="investigadorshomesprojecte2017">Sol·licitant!$F$33</definedName>
    <definedName name="investigadorshomesprojecte2018">Sol·licitant!$G$33</definedName>
    <definedName name="investigadorshomesprojecte2019">Sol·licitant!$H$33</definedName>
    <definedName name="investigadorshomesprojecte2020">Sol·licitant!$I$33</definedName>
    <definedName name="investigadorshomesprojecte2021">Sol·licitant!$J$33</definedName>
    <definedName name="investigadorshomesprojecte2022">Sol·licitant!$K$33</definedName>
    <definedName name="investigadorshomesprojecte2023">Sol·licitant!$L$33</definedName>
    <definedName name="investigadorshomesprojecte3_2016">'Participant 3'!$E$32</definedName>
    <definedName name="investigadorshomesprojecte3_2017">'Participant 3'!$F$32</definedName>
    <definedName name="investigadorshomesprojecte3_2018">'Participant 3'!$G$32</definedName>
    <definedName name="investigadorshomesprojecte3_2019">'Participant 3'!$H$32</definedName>
    <definedName name="investigadorshomesprojecte3_2020">'Participant 3'!$I$32</definedName>
    <definedName name="investigadorshomesprojecte3_2021">'Participant 3'!$J$32</definedName>
    <definedName name="investigadorshomesprojecte3_2022">'Participant 3'!$K$32</definedName>
    <definedName name="investigadorshomesprojecte3_2023">'Participant 3'!$L$32</definedName>
    <definedName name="investigadorshomesprojecte4_2016">'Participant 4'!$E$32</definedName>
    <definedName name="investigadorshomesprojecte4_2017">'Participant 4'!$F$32</definedName>
    <definedName name="investigadorshomesprojecte4_2018">'Participant 4'!$G$32</definedName>
    <definedName name="investigadorshomesprojecte4_2019">'Participant 4'!$H$32</definedName>
    <definedName name="investigadorshomesprojecte4_2020">'Participant 4'!$I$32</definedName>
    <definedName name="investigadorshomesprojecte4_2021">'Participant 4'!$J$32</definedName>
    <definedName name="investigadorshomesprojecte4_2022">'Participant 4'!$K$32</definedName>
    <definedName name="investigadorshomesprojecte4_2023">'Participant 4'!$L$32</definedName>
    <definedName name="investigadorshomesprojecte5_2016">'Participant 5'!$E$32</definedName>
    <definedName name="investigadorshomesprojecte5_2017">'Participant 5'!$F$32</definedName>
    <definedName name="investigadorshomesprojecte5_2018">'Participant 5'!$G$32</definedName>
    <definedName name="investigadorshomesprojecte5_2019">'Participant 5'!$H$32</definedName>
    <definedName name="investigadorshomesprojecte5_2020">'Participant 5'!$I$32</definedName>
    <definedName name="investigadorshomesprojecte5_2021">'Participant 5'!$J$32</definedName>
    <definedName name="investigadorshomesprojecte5_2022">'Participant 5'!$K$32</definedName>
    <definedName name="investigadorshomesprojecte5_2023">'Participant 5'!$L$32</definedName>
    <definedName name="investigadorshomesprojecte6_2016">'Participant 6'!$E$32</definedName>
    <definedName name="investigadorshomesprojecte6_2017">'Participant 6'!$F$32</definedName>
    <definedName name="investigadorshomesprojecte6_2018">'Participant 6'!$G$32</definedName>
    <definedName name="investigadorshomesprojecte6_2019">'Participant 6'!$H$32</definedName>
    <definedName name="investigadorshomesprojecte6_2020">'Participant 6'!$I$32</definedName>
    <definedName name="investigadorshomesprojecte6_2021">'Participant 6'!$J$32</definedName>
    <definedName name="investigadorshomesprojecte6_2022">'Participant 6'!$K$32</definedName>
    <definedName name="investigadorshomesprojecte6_2023">'Participant 6'!$L$32</definedName>
    <definedName name="investigadorshomesprojecte7_2016">'Participant 7'!$E$32</definedName>
    <definedName name="investigadorshomesprojecte7_2017">'Participant 7'!$F$32</definedName>
    <definedName name="investigadorshomesprojecte7_2018">'Participant 7'!$G$32</definedName>
    <definedName name="investigadorshomesprojecte7_2019">'Participant 7'!$H$32</definedName>
    <definedName name="investigadorshomesprojecte7_2020">'Participant 7'!$I$32</definedName>
    <definedName name="investigadorshomesprojecte7_2021">'Participant 7'!$J$32</definedName>
    <definedName name="investigadorshomesprojecte7_2022">'Participant 7'!$K$32</definedName>
    <definedName name="investigadorshomesprojecte7_2023">'Participant 7'!$L$32</definedName>
    <definedName name="investigadorshomesprojecte8_2016">'Participant 8'!$E$32</definedName>
    <definedName name="investigadorshomesprojecte8_2017">'Participant 8'!$F$32</definedName>
    <definedName name="investigadorshomesprojecte8_2018">'Participant 8'!$G$32</definedName>
    <definedName name="investigadorshomesprojecte8_2019">'Participant 8'!$H$32</definedName>
    <definedName name="investigadorshomesprojecte8_2020">'Participant 8'!$I$32</definedName>
    <definedName name="investigadorshomesprojecte8_2021">'Participant 8'!$J$32</definedName>
    <definedName name="investigadorshomesprojecte8_2022">'Participant 8'!$K$32</definedName>
    <definedName name="investigadorshomesprojecte8_2023">'Participant 8'!$L$32</definedName>
    <definedName name="investigadorshomesprojecte9_2016">'Participant 9 '!$E$32</definedName>
    <definedName name="investigadorshomesprojecte9_2017">'Participant 9 '!$F$32</definedName>
    <definedName name="investigadorshomesprojecte9_2018">'Participant 9 '!$G$32</definedName>
    <definedName name="investigadorshomesprojecte9_2019">'Participant 9 '!$H$32</definedName>
    <definedName name="investigadorshomesprojecte9_2020">'Participant 9 '!$I$32</definedName>
    <definedName name="investigadorshomesprojecte9_2021">'Participant 9 '!$J$32</definedName>
    <definedName name="investigadorshomesprojecte9_2022">'Participant 9 '!$K$32</definedName>
    <definedName name="investigadorshomesprojecte9_2023">'Participant 9 '!$L$32</definedName>
    <definedName name="investigadorsprojectedones1_2016">Sol·licitant!$E$34</definedName>
    <definedName name="investigadorsprojectedones2_2016">'Participant 2'!$E$33</definedName>
    <definedName name="investigadorsprojectedones9_2016">'Participant 9 '!$E$33</definedName>
    <definedName name="investigadorstotal_6">'Participant 6'!$E$24</definedName>
    <definedName name="investigadorstotal1_2016">Sol·licitant!$E$25</definedName>
    <definedName name="investigadorstotal1_2017">'Participant 1'!$F$24</definedName>
    <definedName name="investigadorstotal1_2018">'Participant 1'!$G$24</definedName>
    <definedName name="investigadorstotal1_2019">'Participant 1'!$H$24</definedName>
    <definedName name="investigadorstotal1_2020">'Participant 1'!$I$24</definedName>
    <definedName name="investigadorstotal1_2021">'Participant 1'!$J$24</definedName>
    <definedName name="investigadorstotal1_2022">'Participant 1'!$K$24</definedName>
    <definedName name="investigadorstotal1_2023">'Participant 1'!$L$24</definedName>
    <definedName name="investigadorstotal10_2016">'Participant 10'!$E$24</definedName>
    <definedName name="investigadorstotal10_2017">'Participant 10'!$F$24</definedName>
    <definedName name="investigadorstotal10_2018">'Participant 10'!$G$24</definedName>
    <definedName name="investigadorstotal10_2019">'Participant 10'!$H$24</definedName>
    <definedName name="investigadorstotal10_2020">'Participant 10'!$I$24</definedName>
    <definedName name="investigadorstotal10_2021">'Participant 10'!$J$24</definedName>
    <definedName name="investigadorstotal10_2022">'Participant 10'!$K$24</definedName>
    <definedName name="investigadorstotal10_2023">'Participant 10'!$L$24</definedName>
    <definedName name="investigadorstotal11_2016">'Participant 11'!$E$24</definedName>
    <definedName name="investigadorstotal11_2017">'Participant 11'!$F$24</definedName>
    <definedName name="investigadorstotal11_2018">'Participant 11'!$G$24</definedName>
    <definedName name="investigadorstotal11_2019">'Participant 11'!$H$24</definedName>
    <definedName name="investigadorstotal11_2020">'Participant 11'!$I$24</definedName>
    <definedName name="investigadorstotal11_2021">'Participant 11'!$J$24</definedName>
    <definedName name="investigadorstotal11_2022">'Participant 11'!$K$24</definedName>
    <definedName name="investigadorstotal11_2023">'Participant 11'!$L$24</definedName>
    <definedName name="investigadorstotal2_2016">'Participant 2'!$E$24</definedName>
    <definedName name="investigadorstotal2_2017">'Participant 2'!$F$24</definedName>
    <definedName name="investigadorstotal2_2018">'Participant 2'!$G$24</definedName>
    <definedName name="investigadorstotal2_2019">'Participant 2'!$H$24</definedName>
    <definedName name="investigadorstotal2_2020">'Participant 2'!$I$24</definedName>
    <definedName name="investigadorstotal2_2021">'Participant 2'!$J$24</definedName>
    <definedName name="investigadorstotal2_2022">'Participant 2'!$K$24</definedName>
    <definedName name="investigadorstotal2_2023">'Participant 2'!$L$24</definedName>
    <definedName name="investigadorstotal2016">'Participant 1'!$E$24</definedName>
    <definedName name="investigadorstotal2017">Sol·licitant!$F$25</definedName>
    <definedName name="investigadorstotal2018">Sol·licitant!$G$25</definedName>
    <definedName name="investigadorstotal2019">Sol·licitant!$H$25</definedName>
    <definedName name="investigadorstotal2020">Sol·licitant!$I$25</definedName>
    <definedName name="investigadorstotal2021">Sol·licitant!$J$25</definedName>
    <definedName name="investigadorstotal2022">Sol·licitant!$K$25</definedName>
    <definedName name="investigadorstotal2023">Sol·licitant!$L$25</definedName>
    <definedName name="investigadorstotal3_2016">'Participant 3'!$E$24</definedName>
    <definedName name="investigadorstotal3_2017">'Participant 3'!$F$24</definedName>
    <definedName name="investigadorstotal3_2018">'Participant 3'!$G$24</definedName>
    <definedName name="investigadorstotal3_2019">'Participant 3'!$H$24</definedName>
    <definedName name="investigadorstotal3_2020">'Participant 3'!$I$24</definedName>
    <definedName name="investigadorstotal3_2021">'Participant 3'!$J$24</definedName>
    <definedName name="investigadorstotal3_2022">'Participant 3'!$K$24</definedName>
    <definedName name="investigadorstotal3_2023">'Participant 3'!$L$24</definedName>
    <definedName name="investigadorstotal4_2016">'Participant 4'!$E$24</definedName>
    <definedName name="investigadorstotal4_2017">'Participant 4'!$F$24</definedName>
    <definedName name="investigadorstotal4_2018">'Participant 4'!$G$24</definedName>
    <definedName name="investigadorstotal4_2019">'Participant 4'!$H$24</definedName>
    <definedName name="investigadorstotal4_2020">'Participant 4'!$I$24</definedName>
    <definedName name="investigadorstotal4_2021">'Participant 4'!$J$24</definedName>
    <definedName name="investigadorstotal4_2022">'Participant 4'!$K$24</definedName>
    <definedName name="investigadorstotal4_2023">'Participant 4'!$L$24</definedName>
    <definedName name="investigadorstotal5_2016">'Participant 5'!$E$24</definedName>
    <definedName name="investigadorstotal5_2017">'Participant 5'!$F$24</definedName>
    <definedName name="investigadorstotal5_2018">'Participant 5'!$G$24</definedName>
    <definedName name="investigadorstotal5_2019">'Participant 5'!$H$24</definedName>
    <definedName name="investigadorstotal5_2020">'Participant 5'!$I$24</definedName>
    <definedName name="investigadorstotal5_2021">'Participant 5'!$J$24</definedName>
    <definedName name="investigadorstotal5_2022">'Participant 5'!$K$24</definedName>
    <definedName name="investigadorstotal5_2023">'Participant 5'!$L$24</definedName>
    <definedName name="investigadorstotal6_2017">'Participant 6'!$F$24</definedName>
    <definedName name="investigadorstotal6_2018">'Participant 6'!$G$24</definedName>
    <definedName name="investigadorstotal6_2019">'Participant 6'!$H$24</definedName>
    <definedName name="investigadorstotal6_2020">'Participant 6'!$I$24</definedName>
    <definedName name="investigadorstotal6_2021">'Participant 6'!$J$24</definedName>
    <definedName name="investigadorstotal6_2022">'Participant 6'!$K$24</definedName>
    <definedName name="investigadorstotal6_2023">'Participant 6'!$L$24</definedName>
    <definedName name="investigadorstotal7_2016">'Participant 7'!$E$24</definedName>
    <definedName name="investigadorstotal7_2017">'Participant 7'!$F$24</definedName>
    <definedName name="investigadorstotal7_2018">'Participant 7'!$G$24</definedName>
    <definedName name="investigadorstotal7_2019">'Participant 7'!$H$24</definedName>
    <definedName name="investigadorstotal7_2020">'Participant 7'!$I$24</definedName>
    <definedName name="investigadorstotal7_2021">'Participant 7'!$J$24</definedName>
    <definedName name="investigadorstotal7_2022">'Participant 7'!$K$24</definedName>
    <definedName name="investigadorstotal7_2023">'Participant 7'!$L$24</definedName>
    <definedName name="investigadorstotal8_2016">'Participant 8'!$E$24</definedName>
    <definedName name="investigadorstotal8_2017">'Participant 8'!$F$24</definedName>
    <definedName name="investigadorstotal8_2018">'Participant 8'!$G$24</definedName>
    <definedName name="investigadorstotal8_2019">'Participant 8'!$H$24</definedName>
    <definedName name="investigadorstotal8_2020">'Participant 8'!$I$24</definedName>
    <definedName name="investigadorstotal8_2021">'Participant 8'!$J$24</definedName>
    <definedName name="investigadorstotal8_2022">'Participant 8'!$K$24</definedName>
    <definedName name="investigadorstotal8_2023">'Participant 8'!$L$24</definedName>
    <definedName name="investigadorstotal9_2016">'Participant 9 '!$E$24</definedName>
    <definedName name="investigadorstotal9_2017">'Participant 9 '!$F$24</definedName>
    <definedName name="investigadorstotal9_2018">'Participant 9 '!$G$24</definedName>
    <definedName name="investigadorstotal9_2019">'Participant 9 '!$H$24</definedName>
    <definedName name="investigadorstotal9_2020">'Participant 9 '!$I$24</definedName>
    <definedName name="investigadorstotal9_2021">'Participant 9 '!$J$24</definedName>
    <definedName name="investigadorstotal9_2022">'Participant 9 '!$K$24</definedName>
    <definedName name="investigadorstotal9_2023">'Participant 9 '!$L$24</definedName>
    <definedName name="investigadorstotalprojecte1_2016">Sol·licitant!$E$32</definedName>
    <definedName name="investigadorstotalprojecte1_2017">'Participant 1'!$F$31</definedName>
    <definedName name="investigadorstotalprojecte1_2018">'Participant 1'!$G$31</definedName>
    <definedName name="investigadorstotalprojecte1_2019">'Participant 1'!$H$31</definedName>
    <definedName name="investigadorstotalprojecte1_2020">'Participant 1'!$I$31</definedName>
    <definedName name="investigadorstotalprojecte1_2021">'Participant 1'!$J$31</definedName>
    <definedName name="investigadorstotalprojecte1_2022">'Participant 1'!$K$31</definedName>
    <definedName name="investigadorstotalprojecte1_2023">'Participant 1'!$L$31</definedName>
    <definedName name="investigadorstotalprojecte10_2016">'Participant 10'!$E$31</definedName>
    <definedName name="investigadorstotalprojecte10_2017">'Participant 10'!$F$31</definedName>
    <definedName name="investigadorstotalprojecte10_2018">'Participant 10'!$G$31</definedName>
    <definedName name="investigadorstotalprojecte10_2019">'Participant 10'!$H$31</definedName>
    <definedName name="investigadorstotalprojecte10_2020">'Participant 10'!$I$31</definedName>
    <definedName name="investigadorstotalprojecte10_2021">'Participant 10'!$J$31</definedName>
    <definedName name="investigadorstotalprojecte10_2022">'Participant 10'!$K$31</definedName>
    <definedName name="investigadorstotalprojecte10_2023">'Participant 10'!$L$31</definedName>
    <definedName name="investigadorstotalprojecte11_2016">'Participant 11'!$E$31</definedName>
    <definedName name="investigadorstotalprojecte11_2017">'Participant 11'!$F$31</definedName>
    <definedName name="investigadorstotalprojecte11_2018">'Participant 11'!$G$31</definedName>
    <definedName name="investigadorstotalprojecte11_2019">'Participant 11'!$H$31</definedName>
    <definedName name="investigadorstotalprojecte11_2020">'Participant 11'!$I$31</definedName>
    <definedName name="investigadorstotalprojecte11_2021">'Participant 11'!$J$31</definedName>
    <definedName name="investigadorstotalprojecte11_2022">'Participant 11'!$K$31</definedName>
    <definedName name="investigadorstotalprojecte11_2023">'Participant 11'!$L$31</definedName>
    <definedName name="investigadorstotalprojecte2_2016">'Participant 2'!$E$31</definedName>
    <definedName name="investigadorstotalprojecte2_2017">'Participant 2'!$F$31</definedName>
    <definedName name="investigadorstotalprojecte2_2018">'Participant 2'!$G$31</definedName>
    <definedName name="investigadorstotalprojecte2_2019">'Participant 2'!$H$31</definedName>
    <definedName name="investigadorstotalprojecte2_2020">'Participant 2'!$I$31</definedName>
    <definedName name="investigadorstotalprojecte2_2021">'Participant 2'!$J$31</definedName>
    <definedName name="investigadorstotalprojecte2_2022">'Participant 2'!$K$31</definedName>
    <definedName name="investigadorstotalprojecte2_2023">'Participant 2'!$L$31</definedName>
    <definedName name="investigadorstotalprojecte2016">'Participant 1'!$E$31</definedName>
    <definedName name="investigadorstotalprojecte2017">Sol·licitant!$F$32</definedName>
    <definedName name="investigadorstotalprojecte2018">Sol·licitant!$G$32</definedName>
    <definedName name="investigadorstotalprojecte2019">Sol·licitant!$H$32</definedName>
    <definedName name="investigadorstotalprojecte2020">Sol·licitant!$I$32</definedName>
    <definedName name="investigadorstotalprojecte2021">Sol·licitant!$J$32</definedName>
    <definedName name="investigadorstotalprojecte2022">Sol·licitant!$K$32</definedName>
    <definedName name="investigadorstotalprojecte2023">Sol·licitant!$L$32</definedName>
    <definedName name="investigadorstotalprojecte3_2016">'Participant 3'!$E$31</definedName>
    <definedName name="investigadorstotalprojecte3_2017">'Participant 3'!$F$31</definedName>
    <definedName name="investigadorstotalprojecte3_2018">'Participant 3'!$G$31</definedName>
    <definedName name="investigadorstotalprojecte3_2019">'Participant 3'!$H$31</definedName>
    <definedName name="investigadorstotalprojecte3_2020">'Participant 3'!$I$31</definedName>
    <definedName name="investigadorstotalprojecte3_2021">'Participant 3'!$J$31</definedName>
    <definedName name="investigadorstotalprojecte3_2022">'Participant 3'!$K$31</definedName>
    <definedName name="investigadorstotalprojecte3_2023">'Participant 3'!$L$31</definedName>
    <definedName name="investigadorstotalprojecte4_2016">'Participant 4'!$E$31</definedName>
    <definedName name="investigadorstotalprojecte4_2017">'Participant 4'!$F$31</definedName>
    <definedName name="investigadorstotalprojecte4_2018">'Participant 4'!$G$31</definedName>
    <definedName name="investigadorstotalprojecte4_2019">'Participant 4'!$H$31</definedName>
    <definedName name="investigadorstotalprojecte4_2020">'Participant 4'!$I$31</definedName>
    <definedName name="investigadorstotalprojecte4_2021">'Participant 4'!$J$31</definedName>
    <definedName name="investigadorstotalprojecte4_2022">'Participant 4'!$K$31</definedName>
    <definedName name="investigadorstotalprojecte4_2023">'Participant 4'!$L$31</definedName>
    <definedName name="investigadorstotalprojecte5_2016">'Participant 5'!$E$31</definedName>
    <definedName name="investigadorstotalprojecte5_2017">'Participant 5'!$F$31</definedName>
    <definedName name="investigadorstotalprojecte5_2018">'Participant 5'!$G$31</definedName>
    <definedName name="investigadorstotalprojecte5_2019">'Participant 5'!$H$31</definedName>
    <definedName name="investigadorstotalprojecte5_2020">'Participant 5'!$I$31</definedName>
    <definedName name="investigadorstotalprojecte5_2021">'Participant 5'!$J$31</definedName>
    <definedName name="investigadorstotalprojecte5_2022">'Participant 5'!$K$31</definedName>
    <definedName name="investigadorstotalprojecte5_2023">'Participant 5'!$L$31</definedName>
    <definedName name="investigadorstotalprojecte6_2016">'Participant 6'!$E$31</definedName>
    <definedName name="investigadorstotalprojecte6_2017">'Participant 6'!$F$31</definedName>
    <definedName name="investigadorstotalprojecte6_2018">'Participant 6'!$G$31</definedName>
    <definedName name="investigadorstotalprojecte6_2019">'Participant 6'!$H$31</definedName>
    <definedName name="investigadorstotalprojecte6_2020">'Participant 6'!$I$31</definedName>
    <definedName name="investigadorstotalprojecte6_2021">'Participant 6'!$J$31</definedName>
    <definedName name="investigadorstotalprojecte6_2022">'Participant 6'!$K$31</definedName>
    <definedName name="investigadorstotalprojecte6_2023">'Participant 6'!$L$31</definedName>
    <definedName name="investigadorstotalprojecte7_2016">'Participant 7'!$E$31</definedName>
    <definedName name="investigadorstotalprojecte7_2017">'Participant 7'!$F$31</definedName>
    <definedName name="investigadorstotalprojecte7_2018">'Participant 7'!$G$31</definedName>
    <definedName name="investigadorstotalprojecte7_2019">'Participant 7'!$H$31</definedName>
    <definedName name="investigadorstotalprojecte7_2020">'Participant 7'!$I$31</definedName>
    <definedName name="investigadorstotalprojecte7_2021">'Participant 7'!$J$31</definedName>
    <definedName name="investigadorstotalprojecte7_2022">'Participant 7'!$K$31</definedName>
    <definedName name="investigadorstotalprojecte7_2023">'Participant 7'!$L$31</definedName>
    <definedName name="investigadorstotalprojecte8_2016">'Participant 8'!$E$31</definedName>
    <definedName name="investigadorstotalprojecte8_2017">'Participant 8'!$F$31</definedName>
    <definedName name="investigadorstotalprojecte8_2018">'Participant 8'!$G$31</definedName>
    <definedName name="investigadorstotalprojecte8_2019">'Participant 8'!$H$31</definedName>
    <definedName name="investigadorstotalprojecte8_2020">'Participant 8'!$I$31</definedName>
    <definedName name="investigadorstotalprojecte8_2021">'Participant 8'!$J$31</definedName>
    <definedName name="investigadorstotalprojecte8_2022">'Participant 8'!$K$31</definedName>
    <definedName name="investigadorstotalprojecte8_2023">'Participant 8'!$L$31</definedName>
    <definedName name="investigadorstotalprojecte9_2016">'Participant 9 '!$E$31</definedName>
    <definedName name="investigadorstotalprojecte9_2017">'Participant 9 '!$F$31</definedName>
    <definedName name="investigadorstotalprojecte9_2018">'Participant 9 '!$G$31</definedName>
    <definedName name="investigadorstotalprojecte9_2019">'Participant 9 '!$H$31</definedName>
    <definedName name="investigadorstotalprojecte9_2020">'Participant 9 '!$I$31</definedName>
    <definedName name="investigadorstotalprojecte9_2021">'Participant 9 '!$J$31</definedName>
    <definedName name="investigadorstotalprojecte9_2022">'Participant 9 '!$K$31</definedName>
    <definedName name="investigadorstotalprojecte9_2023">'Participant 9 '!$L$31</definedName>
    <definedName name="iprivada1_2016">Sol·licitant!$E$31</definedName>
    <definedName name="iprivada1_2017">'Participant 1'!$F$30</definedName>
    <definedName name="iprivada1_2018">'Participant 1'!$G$30</definedName>
    <definedName name="iprivada1_2019">'Participant 1'!$H$30</definedName>
    <definedName name="iprivada1_2020">'Participant 1'!$I$30</definedName>
    <definedName name="iprivada1_2021">'Participant 1'!$J$30</definedName>
    <definedName name="iprivada1_2022">'Participant 1'!$K$30</definedName>
    <definedName name="iprivada1_2023">'Participant 1'!$L$30</definedName>
    <definedName name="iprivada10_2016">'Participant 10'!$E$30</definedName>
    <definedName name="iprivada10_2017">'Participant 10'!$F$30</definedName>
    <definedName name="iprivada10_2018">'Participant 10'!$G$30</definedName>
    <definedName name="iprivada10_2019">'Participant 10'!$H$30</definedName>
    <definedName name="iprivada10_2020">'Participant 10'!$I$30</definedName>
    <definedName name="iprivada10_2021">'Participant 10'!$J$30</definedName>
    <definedName name="iprivada10_2022">'Participant 10'!$K$30</definedName>
    <definedName name="iprivada10_2023">'Participant 10'!$L$30</definedName>
    <definedName name="iprivada11_2016">'Participant 11'!$E$30</definedName>
    <definedName name="iprivada11_2017">'Participant 11'!$F$30</definedName>
    <definedName name="iprivada11_2018">'Participant 11'!$G$30</definedName>
    <definedName name="iprivada11_2019">'Participant 11'!$H$30</definedName>
    <definedName name="iprivada11_2020">'Participant 11'!$I$30</definedName>
    <definedName name="iprivada11_2021">'Participant 11'!$J$30</definedName>
    <definedName name="iprivada11_2022">'Participant 11'!$K$30</definedName>
    <definedName name="iprivada11_2023">'Participant 11'!$L$30</definedName>
    <definedName name="iprivada2_2016">'Participant 2'!$E$30</definedName>
    <definedName name="iprivada2_2017">'Participant 2'!$F$30</definedName>
    <definedName name="iprivada2_2018">'Participant 2'!$G$30</definedName>
    <definedName name="iprivada2_2019">'Participant 2'!$H$30</definedName>
    <definedName name="iprivada2_2020">'Participant 2'!$I$30</definedName>
    <definedName name="iprivada2_2021">'Participant 2'!$J$30</definedName>
    <definedName name="iprivada2_2022">'Participant 2'!$K$30</definedName>
    <definedName name="iprivada2_2023">'Participant 2'!$L$30</definedName>
    <definedName name="iprivada2016">'Participant 1'!$E$30</definedName>
    <definedName name="iprivada2017">Sol·licitant!$F$31</definedName>
    <definedName name="iprivada2018">Sol·licitant!$G$31</definedName>
    <definedName name="iprivada2019">Sol·licitant!$H$31</definedName>
    <definedName name="iprivada2020">Sol·licitant!$I$31</definedName>
    <definedName name="iprivada2021">Sol·licitant!$J$31</definedName>
    <definedName name="iprivada2022">Sol·licitant!$K$31</definedName>
    <definedName name="iprivada2023">Sol·licitant!$L$31</definedName>
    <definedName name="iprivada3_2016">'Participant 3'!$E$30</definedName>
    <definedName name="iprivada3_2017">'Participant 3'!$F$30</definedName>
    <definedName name="iprivada3_2018">'Participant 3'!$G$30</definedName>
    <definedName name="iprivada3_2019">'Participant 3'!$H$30</definedName>
    <definedName name="iprivada3_2020">'Participant 3'!$I$30</definedName>
    <definedName name="iprivada3_2021">'Participant 3'!$J$30</definedName>
    <definedName name="iprivada3_2022">'Participant 3'!$K$30</definedName>
    <definedName name="iprivada3_2023">'Participant 3'!$L$30</definedName>
    <definedName name="iprivada4_2016">'Participant 4'!$E$30</definedName>
    <definedName name="iprivada4_2017">'Participant 4'!$F$30</definedName>
    <definedName name="iprivada4_2018">'Participant 4'!$G$30</definedName>
    <definedName name="iprivada4_2019">'Participant 4'!$H$30</definedName>
    <definedName name="iprivada4_2020">'Participant 4'!$I$30</definedName>
    <definedName name="iprivada4_2021">'Participant 4'!$J$30</definedName>
    <definedName name="iprivada4_2022">'Participant 4'!$K$30</definedName>
    <definedName name="iprivada4_2023">'Participant 4'!$L$30</definedName>
    <definedName name="iprivada5_2016">'Participant 5'!$E$30</definedName>
    <definedName name="iprivada5_2017">'Participant 5'!$F$30</definedName>
    <definedName name="iprivada5_2018">'Participant 5'!$G$30</definedName>
    <definedName name="iprivada5_2019">'Participant 5'!$H$30</definedName>
    <definedName name="iprivada5_2020">'Participant 5'!$I$30</definedName>
    <definedName name="iprivada5_2021">'Participant 5'!$J$30</definedName>
    <definedName name="iprivada5_2022">'Participant 5'!$K$30</definedName>
    <definedName name="iprivada5_2023">'Participant 5'!$L$30</definedName>
    <definedName name="iprivada6_2016">'Participant 6'!$E$30</definedName>
    <definedName name="iprivada6_2017">'Participant 6'!$F$30</definedName>
    <definedName name="iprivada6_2018">'Participant 6'!$G$30</definedName>
    <definedName name="iprivada6_2019">'Participant 6'!$H$30</definedName>
    <definedName name="iprivada6_2020">'Participant 6'!$I$30</definedName>
    <definedName name="iprivada6_2021">'Participant 6'!$J$30</definedName>
    <definedName name="iprivada6_2022">'Participant 6'!$K$30</definedName>
    <definedName name="iprivada6_2023">'Participant 6'!$L$30</definedName>
    <definedName name="iprivada7_2016">'Participant 7'!$E$30</definedName>
    <definedName name="iprivada7_2017">'Participant 7'!$F$30</definedName>
    <definedName name="iprivada7_2018">'Participant 7'!$G$30</definedName>
    <definedName name="iprivada7_2019">'Participant 7'!$H$30</definedName>
    <definedName name="iprivada7_2020">'Participant 7'!$I$30</definedName>
    <definedName name="iprivada7_2021">'Participant 7'!$J$30</definedName>
    <definedName name="iprivada7_2022">'Participant 7'!$K$30</definedName>
    <definedName name="iprivada7_2023">'Participant 7'!$L$30</definedName>
    <definedName name="iprivada8_2016">'Participant 8'!$E$30</definedName>
    <definedName name="iprivada8_2017">'Participant 8'!$F$30</definedName>
    <definedName name="iprivada8_2018">'Participant 8'!$G$30</definedName>
    <definedName name="iprivada8_2019">'Participant 8'!$H$30</definedName>
    <definedName name="iprivada8_2020">'Participant 8'!$I$30</definedName>
    <definedName name="iprivada8_2021">'Participant 8'!$J$30</definedName>
    <definedName name="iprivada8_2022">'Participant 8'!$K$30</definedName>
    <definedName name="iprivada8_2023">'Participant 8'!$L$30</definedName>
    <definedName name="iprivada9_2016">'Participant 9 '!$E$30</definedName>
    <definedName name="iprivada9_2017">'Participant 9 '!$F$30</definedName>
    <definedName name="iprivada9_2018">'Participant 9 '!$G$30</definedName>
    <definedName name="iprivada9_2019">'Participant 9 '!$H$30</definedName>
    <definedName name="iprivada9_2020">'Participant 9 '!$I$30</definedName>
    <definedName name="iprivada9_2021">'Participant 9 '!$J$30</definedName>
    <definedName name="iprivada9_2022">'Participant 9 '!$K$30</definedName>
    <definedName name="iprivada9_2023">'Participant 9 '!$L$30</definedName>
    <definedName name="iprivadaipublica1_2016">Sol·licitant!$E$17</definedName>
    <definedName name="iprivadaipublica1_2017">'Participant 1'!$F$16</definedName>
    <definedName name="iprivadaipublica1_2018">'Participant 1'!$G$16</definedName>
    <definedName name="iprivadaipublica1_2019">'Participant 1'!$H$16</definedName>
    <definedName name="iprivadaipublica1_2020">'Participant 1'!$I$16</definedName>
    <definedName name="iprivadaipublica1_2021">'Participant 1'!$J$16</definedName>
    <definedName name="iprivadaipublica1_2022">'Participant 1'!$K$16</definedName>
    <definedName name="iprivadaipublica1_2023">'Participant 1'!$L$16</definedName>
    <definedName name="iprivadaipublica10_2016">'Participant 10'!$E$16</definedName>
    <definedName name="iprivadaipublica10_2017">'Participant 10'!$F$16</definedName>
    <definedName name="iprivadaipublica10_2018">'Participant 10'!$G$16</definedName>
    <definedName name="iprivadaipublica10_2019">'Participant 10'!$H$16</definedName>
    <definedName name="iprivadaipublica10_2020">'Participant 10'!$I$16</definedName>
    <definedName name="iprivadaipublica10_2021">'Participant 10'!$J$16</definedName>
    <definedName name="iprivadaipublica10_2022">'Participant 10'!$K$16</definedName>
    <definedName name="iprivadaipublica10_2023">'Participant 10'!$L$16</definedName>
    <definedName name="iprivadaipublica11_2016">'Participant 11'!$E$16</definedName>
    <definedName name="iprivadaipublica11_2017">'Participant 11'!$F$16</definedName>
    <definedName name="iprivadaipublica11_2018">'Participant 11'!$G$16</definedName>
    <definedName name="iprivadaipublica11_2019">'Participant 11'!$H$16</definedName>
    <definedName name="iprivadaipublica11_2020">'Participant 11'!$I$16</definedName>
    <definedName name="iprivadaipublica11_2021">'Participant 11'!$J$16</definedName>
    <definedName name="iprivadaipublica11_2022">'Participant 11'!$K$16</definedName>
    <definedName name="iprivadaipublica11_2023">'Participant 11'!$L$16</definedName>
    <definedName name="iprivadaipublica2_2016">'Participant 2'!$E$16</definedName>
    <definedName name="iprivadaipublica2_2017">'Participant 2'!$F$16</definedName>
    <definedName name="iprivadaipublica2_2018">'Participant 2'!$G$16</definedName>
    <definedName name="iprivadaipublica2_2019">'Participant 2'!$H$16</definedName>
    <definedName name="iprivadaipublica2_2020">'Participant 2'!$I$16</definedName>
    <definedName name="iprivadaipublica2_2021">'Participant 2'!$J$16</definedName>
    <definedName name="iprivadaipublica2_2022">'Participant 2'!$K$16</definedName>
    <definedName name="iprivadaipublica2_2023">'Participant 2'!$L$16</definedName>
    <definedName name="iprivadaipublica2016">'Participant 1'!$E$16</definedName>
    <definedName name="iprivadaipublica2017">Sol·licitant!$F$17</definedName>
    <definedName name="iprivadaipublica2018">Sol·licitant!$G$17</definedName>
    <definedName name="iprivadaipublica2019">Sol·licitant!$H$17</definedName>
    <definedName name="iprivadaipublica2020">Sol·licitant!$I$17</definedName>
    <definedName name="iprivadaipublica2021">Sol·licitant!$J$17</definedName>
    <definedName name="iprivadaipublica2022">Sol·licitant!$K$17</definedName>
    <definedName name="iprivadaipublica2023">Sol·licitant!$L$17</definedName>
    <definedName name="iprivadaipublica3_2016">'Participant 3'!$E$16</definedName>
    <definedName name="iprivadaipublica3_2017">'Participant 3'!$F$16</definedName>
    <definedName name="iprivadaipublica3_2018">'Participant 3'!$G$16</definedName>
    <definedName name="iprivadaipublica3_2019">'Participant 3'!$H$16</definedName>
    <definedName name="iprivadaipublica3_2020">'Participant 3'!$I$16</definedName>
    <definedName name="iprivadaipublica3_2021">'Participant 3'!$J$16</definedName>
    <definedName name="iprivadaipublica3_2022">'Participant 3'!$K$16</definedName>
    <definedName name="iprivadaipublica3_2023">'Participant 3'!$L$16</definedName>
    <definedName name="iprivadaipublica4_2016">'Participant 4'!$E$16</definedName>
    <definedName name="iprivadaipublica4_2017">'Participant 4'!$F$16</definedName>
    <definedName name="iprivadaipublica4_2018">'Participant 4'!$G$16</definedName>
    <definedName name="iprivadaipublica4_2019">'Participant 4'!$H$16</definedName>
    <definedName name="iprivadaipublica4_2020">'Participant 4'!$I$16</definedName>
    <definedName name="iprivadaipublica4_2021">'Participant 4'!$J$16</definedName>
    <definedName name="iprivadaipublica4_2022">'Participant 4'!$K$16</definedName>
    <definedName name="iprivadaipublica4_2023">'Participant 4'!$L$16</definedName>
    <definedName name="iprivadaipublica5_2017">'Participant 5'!$F$16</definedName>
    <definedName name="iprivadaipublica5_2018">'Participant 5'!$G$16</definedName>
    <definedName name="iprivadaipublica5_2019">'Participant 5'!$H$16</definedName>
    <definedName name="iprivadaipublica5_2020">'Participant 5'!$I$16</definedName>
    <definedName name="iprivadaipublica5_2021">'Participant 5'!$J$16</definedName>
    <definedName name="iprivadaipublica5_2022">'Participant 5'!$K$16</definedName>
    <definedName name="iprivadaipublica5_2023">'Participant 5'!$L$16</definedName>
    <definedName name="iprivadaipublica6_2016">'Participant 6'!$E$16</definedName>
    <definedName name="iprivadaipublica6_2017">'Participant 6'!$F$16</definedName>
    <definedName name="iprivadaipublica6_2018">'Participant 6'!$G$16</definedName>
    <definedName name="iprivadaipublica6_2019">'Participant 6'!$H$16</definedName>
    <definedName name="iprivadaipublica6_2020">'Participant 6'!$I$16</definedName>
    <definedName name="iprivadaipublica6_2021">'Participant 6'!$J$16</definedName>
    <definedName name="iprivadaipublica6_2022">'Participant 6'!$K$16</definedName>
    <definedName name="iprivadaipublica6_2023">'Participant 6'!$L$16</definedName>
    <definedName name="iprivadaipublica7_2016">'Participant 7'!$E$16</definedName>
    <definedName name="iprivadaipublica7_2017">'Participant 7'!$F$16</definedName>
    <definedName name="iprivadaipublica7_2018">'Participant 7'!$G$16</definedName>
    <definedName name="iprivadaipublica7_2019">'Participant 7'!$H$16</definedName>
    <definedName name="iprivadaipublica7_2020">'Participant 7'!$I$16</definedName>
    <definedName name="iprivadaipublica7_2021">'Participant 7'!$J$16</definedName>
    <definedName name="iprivadaipublica7_2022">'Participant 7'!$K$16</definedName>
    <definedName name="iprivadaipublica7_2023">'Participant 7'!$L$16</definedName>
    <definedName name="iprivadaipublica8_2016">'Participant 8'!$E$16</definedName>
    <definedName name="iprivadaipublica8_2017">'Participant 8'!$F$16</definedName>
    <definedName name="iprivadaipublica8_2018">'Participant 8'!$G$16</definedName>
    <definedName name="iprivadaipublica8_2019">'Participant 8'!$H$16</definedName>
    <definedName name="iprivadaipublica8_2020">'Participant 8'!$I$16</definedName>
    <definedName name="iprivadaipublica8_2021">'Participant 8'!$J$16</definedName>
    <definedName name="iprivadaipublica8_2022">'Participant 8'!$K$16</definedName>
    <definedName name="iprivadaipublica8_2023">'Participant 8'!$L$16</definedName>
    <definedName name="iprivadaipublica9_2016">'Participant 9 '!$E$16</definedName>
    <definedName name="iprivadaipublica9_2017">'Participant 9 '!$F$16</definedName>
    <definedName name="iprivadaipublica9_2018">'Participant 9 '!$G$16</definedName>
    <definedName name="iprivadaipublica9_2019">'Participant 9 '!$H$16</definedName>
    <definedName name="iprivadaipublica9_2020">'Participant 9 '!$I$16</definedName>
    <definedName name="iprivadaipublica9_2021">'Participant 9 '!$J$16</definedName>
    <definedName name="iprivadaipublica9_2022">'Participant 9 '!$K$16</definedName>
    <definedName name="iprivadaipublica9_2023">'Participant 9 '!$L$16</definedName>
    <definedName name="ipublica1_2016">Sol·licitant!$E$30</definedName>
    <definedName name="ipublica1_2017">'Participant 1'!$F$29</definedName>
    <definedName name="ipublica1_2018">'Participant 1'!$G$29</definedName>
    <definedName name="ipublica1_2019">'Participant 1'!$H$29</definedName>
    <definedName name="ipublica1_2020">'Participant 1'!$I$29</definedName>
    <definedName name="ipublica1_2021">'Participant 1'!$J$29</definedName>
    <definedName name="ipublica1_2022">'Participant 1'!$K$29</definedName>
    <definedName name="ipublica1_2023">'Participant 1'!$L$29</definedName>
    <definedName name="ipublica10_2016">'Participant 10'!$E$29</definedName>
    <definedName name="ipublica10_2017">'Participant 10'!$F$29</definedName>
    <definedName name="ipublica10_2018">'Participant 10'!$G$29</definedName>
    <definedName name="ipublica10_2019">'Participant 10'!$H$29</definedName>
    <definedName name="ipublica10_2020">'Participant 10'!$I$29</definedName>
    <definedName name="ipublica10_2021">'Participant 10'!$J$29</definedName>
    <definedName name="ipublica10_2022">'Participant 10'!$K$29</definedName>
    <definedName name="ipublica10_2023">'Participant 10'!$L$29</definedName>
    <definedName name="ipublica11_2016">'Participant 11'!$E$29</definedName>
    <definedName name="ipublica11_2017">'Participant 11'!$F$29</definedName>
    <definedName name="ipublica11_2018">'Participant 11'!$G$29</definedName>
    <definedName name="ipublica11_2019">'Participant 11'!$H$29</definedName>
    <definedName name="ipublica11_2020">'Participant 11'!$I$29</definedName>
    <definedName name="ipublica11_2021">'Participant 11'!$J$29</definedName>
    <definedName name="ipublica11_2022">'Participant 11'!$K$29</definedName>
    <definedName name="ipublica11_2023">'Participant 11'!$L$29</definedName>
    <definedName name="ipublica2_2016">'Participant 2'!$E$29</definedName>
    <definedName name="ipublica2_2017">'Participant 2'!$F$29</definedName>
    <definedName name="ipublica2_2018">'Participant 2'!$G$29</definedName>
    <definedName name="ipublica2_2019">'Participant 2'!$H$29</definedName>
    <definedName name="ipublica2_2020">'Participant 2'!$I$29</definedName>
    <definedName name="ipublica2_2021">'Participant 2'!$J$29</definedName>
    <definedName name="ipublica2_2022">'Participant 2'!$K$29</definedName>
    <definedName name="ipublica2_2023">'Participant 2'!$L$29</definedName>
    <definedName name="ipublica2016">'Participant 1'!$E$29</definedName>
    <definedName name="ipublica2017">Sol·licitant!$F$30</definedName>
    <definedName name="ipublica2018">Sol·licitant!$G$30</definedName>
    <definedName name="ipublica2019">Sol·licitant!$H$30</definedName>
    <definedName name="ipublica2020">Sol·licitant!$I$30</definedName>
    <definedName name="ipublica2021">Sol·licitant!$J$30</definedName>
    <definedName name="ipublica2022">Sol·licitant!$K$30</definedName>
    <definedName name="ipublica2023">Sol·licitant!$L$30</definedName>
    <definedName name="ipublica3_2016">'Participant 3'!$E$29</definedName>
    <definedName name="ipublica3_2017">'Participant 3'!$F$29</definedName>
    <definedName name="ipublica3_2018">'Participant 3'!$G$29</definedName>
    <definedName name="ipublica3_2019">'Participant 3'!$H$29</definedName>
    <definedName name="ipublica3_2020">'Participant 3'!$I$29</definedName>
    <definedName name="ipublica3_2021">'Participant 3'!$J$29</definedName>
    <definedName name="ipublica3_2022">'Participant 3'!$K$29</definedName>
    <definedName name="ipublica3_2023">'Participant 3'!$L$29</definedName>
    <definedName name="ipublica4_2016">'Participant 4'!$E$29</definedName>
    <definedName name="ipublica4_2017">'Participant 4'!$F$29</definedName>
    <definedName name="ipublica4_2018">'Participant 4'!$G$29</definedName>
    <definedName name="ipublica4_2019">'Participant 4'!$H$29</definedName>
    <definedName name="ipublica4_2020">'Participant 4'!$I$29</definedName>
    <definedName name="ipublica4_2021">'Participant 4'!$J$29</definedName>
    <definedName name="ipublica4_2022">'Participant 4'!$K$29</definedName>
    <definedName name="ipublica4_2023">'Participant 4'!$L$29</definedName>
    <definedName name="ipublica5_2016">'Participant 5'!$E$29</definedName>
    <definedName name="ipublica5_2017">'Participant 5'!$F$29</definedName>
    <definedName name="ipublica5_2018">'Participant 5'!$G$29</definedName>
    <definedName name="ipublica5_2019">'Participant 5'!$H$29</definedName>
    <definedName name="ipublica5_2020">'Participant 5'!$I$29</definedName>
    <definedName name="ipublica5_2021">'Participant 5'!$J$29</definedName>
    <definedName name="ipublica5_2022">'Participant 5'!$K$29</definedName>
    <definedName name="ipublica5_2023">'Participant 5'!$L$29</definedName>
    <definedName name="ipublica6_2016">'Participant 6'!$E$29</definedName>
    <definedName name="ipublica6_2017">'Participant 6'!$F$29</definedName>
    <definedName name="ipublica6_2018">'Participant 6'!$G$29</definedName>
    <definedName name="ipublica6_2019">'Participant 6'!$H$29</definedName>
    <definedName name="ipublica6_2020">'Participant 6'!$I$29</definedName>
    <definedName name="ipublica6_2021">'Participant 6'!$J$29</definedName>
    <definedName name="ipublica6_2022">'Participant 6'!$K$29</definedName>
    <definedName name="ipublica6_2023">'Participant 6'!$L$29</definedName>
    <definedName name="ipublica7_2016">'Participant 7'!$E$29</definedName>
    <definedName name="ipublica7_2017">'Participant 7'!$F$29</definedName>
    <definedName name="ipublica7_2018">'Participant 7'!$G$29</definedName>
    <definedName name="ipublica7_2019">'Participant 7'!$H$29</definedName>
    <definedName name="ipublica7_2020">'Participant 7'!$I$29</definedName>
    <definedName name="ipublica7_2021">'Participant 7'!$J$29</definedName>
    <definedName name="ipublica7_2022">'Participant 7'!$K$29</definedName>
    <definedName name="ipublica7_2023">'Participant 7'!$L$29</definedName>
    <definedName name="ipublica8_2016">'Participant 8'!$E$29</definedName>
    <definedName name="ipublica8_2017">'Participant 8'!$F$29</definedName>
    <definedName name="ipublica8_2018">'Participant 8'!$G$29</definedName>
    <definedName name="ipublica8_2019">'Participant 8'!$H$29</definedName>
    <definedName name="ipublica8_2020">'Participant 8'!$I$29</definedName>
    <definedName name="ipublica8_2021">'Participant 8'!$J$29</definedName>
    <definedName name="ipublica8_2022">'Participant 8'!$K$29</definedName>
    <definedName name="ipublica8_2023">'Participant 8'!$L$29</definedName>
    <definedName name="ipublica9_2016">'Participant 9 '!$E$29</definedName>
    <definedName name="ipublica9_2017">'Participant 9 '!$F$29</definedName>
    <definedName name="ipublica9_2018">'Participant 9 '!$G$29</definedName>
    <definedName name="ipublica9_2019">'Participant 9 '!$H$29</definedName>
    <definedName name="ipublica9_2020">'Participant 9 '!$I$29</definedName>
    <definedName name="ipublica9_2021">'Participant 9 '!$J$29</definedName>
    <definedName name="ipublica9_2022">'Participant 9 '!$K$29</definedName>
    <definedName name="ipublica9_2023">'Participant 9 '!$L$29</definedName>
    <definedName name="irpivadaipublica5_2016">'Participant 5'!$E$16</definedName>
    <definedName name="justificacio">Sol·licitant!$C$9</definedName>
    <definedName name="justificaciodesp" localSheetId="10">#REF!</definedName>
    <definedName name="justificaciodesp" localSheetId="11">#REF!</definedName>
    <definedName name="justificaciodesp" localSheetId="5">#REF!</definedName>
    <definedName name="justificaciodesp" localSheetId="6">#REF!</definedName>
    <definedName name="justificaciodesp" localSheetId="7">#REF!</definedName>
    <definedName name="justificaciodesp" localSheetId="9">#REF!</definedName>
    <definedName name="justificaciodesp">#REF!</definedName>
    <definedName name="llocsdetreball1_2016">Sol·licitant!$E$45</definedName>
    <definedName name="llocsdetreball1_2017">'Participant 1'!$F$44</definedName>
    <definedName name="llocsdetreball1_2018">'Participant 1'!$G$44</definedName>
    <definedName name="llocsdetreball1_2019">'Participant 1'!$H$44</definedName>
    <definedName name="llocsdetreball1_2020">'Participant 1'!$I$44</definedName>
    <definedName name="llocsdetreball1_2021">'Participant 1'!$J$44</definedName>
    <definedName name="llocsdetreball1_2022">'Participant 1'!$K$44</definedName>
    <definedName name="llocsdetreball1_2023">'Participant 1'!$L$44</definedName>
    <definedName name="llocsdetreball10_2016">'Participant 10'!$E$44</definedName>
    <definedName name="llocsdetreball10_2017">'Participant 10'!$F$44</definedName>
    <definedName name="llocsdetreball10_2018">'Participant 10'!$G$44</definedName>
    <definedName name="llocsdetreball10_2019">'Participant 10'!$H$44</definedName>
    <definedName name="llocsdetreball10_2020">'Participant 10'!$I$44</definedName>
    <definedName name="llocsdetreball10_2021">'Participant 10'!$J$44</definedName>
    <definedName name="llocsdetreball10_2022">'Participant 10'!$K$44</definedName>
    <definedName name="llocsdetreball10_2023">'Participant 10'!$L$44</definedName>
    <definedName name="llocsdetreball11_2016">'Participant 11'!$E$44</definedName>
    <definedName name="llocsdetreball11_2017">'Participant 11'!$F$44</definedName>
    <definedName name="llocsdetreball11_2018">'Participant 11'!$G$44</definedName>
    <definedName name="llocsdetreball11_2019">'Participant 11'!$H$44</definedName>
    <definedName name="llocsdetreball11_2020">'Participant 11'!$I$44</definedName>
    <definedName name="llocsdetreball11_2021">'Participant 11'!$J$44</definedName>
    <definedName name="llocsdetreball11_2022">'Participant 11'!$K$44</definedName>
    <definedName name="llocsdetreball11_2023">'Participant 11'!$L$44</definedName>
    <definedName name="llocsdetreball2_2016">'Participant 2'!$E$44</definedName>
    <definedName name="llocsdetreball2_2017">'Participant 2'!$F$44</definedName>
    <definedName name="llocsdetreball2_2018">'Participant 2'!$G$44</definedName>
    <definedName name="llocsdetreball2_2019">'Participant 2'!$H$44</definedName>
    <definedName name="llocsdetreball2_2020">'Participant 2'!$I$44</definedName>
    <definedName name="llocsdetreball2_2021">'Participant 2'!$J$44</definedName>
    <definedName name="llocsdetreball2_2022">'Participant 2'!$K$44</definedName>
    <definedName name="llocsdetreball2_2023">'Participant 2'!$L$44</definedName>
    <definedName name="llocsdetreball2016">'Participant 1'!$E$44</definedName>
    <definedName name="llocsdetreball2017">Sol·licitant!$F$45</definedName>
    <definedName name="llocsdetreball2018">Sol·licitant!$G$45</definedName>
    <definedName name="llocsdetreball2019">Sol·licitant!$H$45</definedName>
    <definedName name="llocsdetreball2020">Sol·licitant!$I$45</definedName>
    <definedName name="llocsdetreball2021">Sol·licitant!$J$45</definedName>
    <definedName name="llocsdetreball2022">Sol·licitant!$K$45</definedName>
    <definedName name="llocsdetreball2023">Sol·licitant!$L$45</definedName>
    <definedName name="llocsdetreball3_2016">'Participant 3'!$E$44</definedName>
    <definedName name="llocsdetreball3_2017">'Participant 3'!$F$44</definedName>
    <definedName name="llocsdetreball3_2018">'Participant 3'!$G$44</definedName>
    <definedName name="llocsdetreball3_2019">'Participant 3'!$H$44</definedName>
    <definedName name="llocsdetreball3_2020">'Participant 3'!$I$44</definedName>
    <definedName name="llocsdetreball3_2021">'Participant 3'!$J$44</definedName>
    <definedName name="llocsdetreball3_2022">'Participant 3'!$K$44</definedName>
    <definedName name="llocsdetreball3_2023">'Participant 3'!$L$44</definedName>
    <definedName name="llocsdetreball4_2016">'Participant 4'!$E$44</definedName>
    <definedName name="llocsdetreball4_2017">'Participant 4'!$F$44</definedName>
    <definedName name="llocsdetreball4_2018">'Participant 4'!$G$44</definedName>
    <definedName name="llocsdetreball4_2019">'Participant 4'!$H$44</definedName>
    <definedName name="llocsdetreball4_2020">'Participant 4'!$I$44</definedName>
    <definedName name="llocsdetreball4_2021">'Participant 4'!$J$44</definedName>
    <definedName name="llocsdetreball4_2022">'Participant 4'!$K$44</definedName>
    <definedName name="llocsdetreball4_2023">'Participant 4'!$L$44</definedName>
    <definedName name="llocsdetreball5_2016">'Participant 5'!$E$44</definedName>
    <definedName name="llocsdetreball5_2017">'Participant 5'!$F$44</definedName>
    <definedName name="llocsdetreball5_2018">'Participant 5'!$G$44</definedName>
    <definedName name="llocsdetreball5_2019">'Participant 5'!$H$44</definedName>
    <definedName name="llocsdetreball5_2020">'Participant 5'!$I$44</definedName>
    <definedName name="llocsdetreball5_2021">'Participant 5'!$J$44</definedName>
    <definedName name="llocsdetreball5_2022">'Participant 5'!$K$44</definedName>
    <definedName name="llocsdetreball5_2023">'Participant 5'!$L$44</definedName>
    <definedName name="llocsdetreball6_2016">'Participant 6'!$E$44</definedName>
    <definedName name="llocsdetreball6_2017">'Participant 6'!$F$44</definedName>
    <definedName name="llocsdetreball6_2018">'Participant 6'!$G$44</definedName>
    <definedName name="llocsdetreball6_2019">'Participant 6'!$H$44</definedName>
    <definedName name="llocsdetreball6_2020">'Participant 6'!$I$44</definedName>
    <definedName name="llocsdetreball6_2021">'Participant 6'!$J$44</definedName>
    <definedName name="llocsdetreball6_2022">'Participant 6'!$K$44</definedName>
    <definedName name="llocsdetreball6_2023">'Participant 6'!$L$44</definedName>
    <definedName name="llocsdetreball7_2016">'Participant 7'!$E$44</definedName>
    <definedName name="llocsdetreball7_2017">'Participant 7'!$F$44</definedName>
    <definedName name="llocsdetreball7_2018">'Participant 7'!$G$44</definedName>
    <definedName name="llocsdetreball7_2019">'Participant 7'!$H$44</definedName>
    <definedName name="llocsdetreball7_2020">'Participant 7'!$I$44</definedName>
    <definedName name="llocsdetreball7_2021">'Participant 7'!$J$44</definedName>
    <definedName name="llocsdetreball7_2022">'Participant 7'!$K$44</definedName>
    <definedName name="llocsdetreball7_2023">'Participant 7'!$L$44</definedName>
    <definedName name="llocsdetreball8_2016">'Participant 8'!$E$44</definedName>
    <definedName name="llocsdetreball8_2017">'Participant 8'!$F$44</definedName>
    <definedName name="llocsdetreball8_2018">'Participant 8'!$G$44</definedName>
    <definedName name="llocsdetreball8_2019">'Participant 8'!$H$44</definedName>
    <definedName name="llocsdetreball8_2020">'Participant 8'!$I$44</definedName>
    <definedName name="llocsdetreball8_2021">'Participant 8'!$J$44</definedName>
    <definedName name="llocsdetreball8_2022">'Participant 8'!$K$44</definedName>
    <definedName name="llocsdetreball8_2023">'Participant 8'!$L$44</definedName>
    <definedName name="llocsdetreball9_2016">'Participant 9 '!$E$44</definedName>
    <definedName name="llocsdetreball9_2017">'Participant 9 '!$F$44</definedName>
    <definedName name="llocsdetreball9_2018">'Participant 9 '!$G$44</definedName>
    <definedName name="llocsdetreball9_2019">'Participant 9 '!$H$44</definedName>
    <definedName name="llocsdetreball9_2020">'Participant 9 '!$I$44</definedName>
    <definedName name="llocsdetreball9_2021">'Participant 9 '!$J$44</definedName>
    <definedName name="llocsdetreball9_2022">'Participant 9 '!$K$44</definedName>
    <definedName name="llocsdetreball9_2023">'Participant 9 '!$L$44</definedName>
    <definedName name="marques1_2016">Sol·licitant!$E$43</definedName>
    <definedName name="marques1_2017">'Participant 1'!$F$42</definedName>
    <definedName name="marques1_2018">'Participant 1'!$G$42</definedName>
    <definedName name="marques1_2019">'Participant 1'!$H$42</definedName>
    <definedName name="marques1_2020">'Participant 1'!$I$42</definedName>
    <definedName name="marques1_2021">'Participant 1'!$J$42</definedName>
    <definedName name="marques1_2022">'Participant 1'!$K$42</definedName>
    <definedName name="marques1_2023">'Participant 1'!$L$42</definedName>
    <definedName name="marques10_2016">'Participant 10'!$E$42</definedName>
    <definedName name="marques10_2017">'Participant 10'!$F$42</definedName>
    <definedName name="marques10_2018">'Participant 10'!$G$42</definedName>
    <definedName name="marques10_2019">'Participant 10'!$H$42</definedName>
    <definedName name="marques10_2020">'Participant 10'!$I$42</definedName>
    <definedName name="marques10_2021">'Participant 10'!$J$42</definedName>
    <definedName name="marques10_2022">'Participant 10'!$K$42</definedName>
    <definedName name="marques10_2023">'Participant 10'!$L$42</definedName>
    <definedName name="marques11_2016">'Participant 11'!$E$42</definedName>
    <definedName name="marques11_2017">'Participant 11'!$F$42</definedName>
    <definedName name="marques11_2018">'Participant 11'!$G$42</definedName>
    <definedName name="marques11_2019">'Participant 11'!$H$42</definedName>
    <definedName name="marques11_2020">'Participant 11'!$I$42</definedName>
    <definedName name="marques11_2021">'Participant 11'!$J$42</definedName>
    <definedName name="marques11_2022">'Participant 11'!$K$42</definedName>
    <definedName name="marques11_2023">'Participant 11'!$L$42</definedName>
    <definedName name="marques2_2016">'Participant 2'!$E$42</definedName>
    <definedName name="marques2_2017">'Participant 2'!$F$42</definedName>
    <definedName name="marques2_2018">'Participant 2'!$G$42</definedName>
    <definedName name="marques2_2019">'Participant 2'!$H$42</definedName>
    <definedName name="marques2_2020">'Participant 2'!$I$42</definedName>
    <definedName name="marques2_2021">'Participant 2'!$J$42</definedName>
    <definedName name="marques2_2022">'Participant 2'!$K$42</definedName>
    <definedName name="marques2_2023">'Participant 2'!$L$42</definedName>
    <definedName name="marques2016">'Participant 1'!$E$42</definedName>
    <definedName name="marques2017">Sol·licitant!$F$43</definedName>
    <definedName name="marques2018">Sol·licitant!$G$43</definedName>
    <definedName name="marques2019">Sol·licitant!$H$43</definedName>
    <definedName name="marques2020">Sol·licitant!$I$43</definedName>
    <definedName name="marques2021">Sol·licitant!$J$43</definedName>
    <definedName name="marques2022">Sol·licitant!$K$43</definedName>
    <definedName name="marques2023">Sol·licitant!$L$43</definedName>
    <definedName name="marques3_2016">'Participant 3'!$E$42</definedName>
    <definedName name="marques3_2017">'Participant 3'!$F$42</definedName>
    <definedName name="marques3_2018">'Participant 3'!$G$42</definedName>
    <definedName name="marques3_2019">'Participant 3'!$H$42</definedName>
    <definedName name="marques3_2020">'Participant 3'!$I$42</definedName>
    <definedName name="marques3_2021">'Participant 3'!$J$42</definedName>
    <definedName name="marques3_2022">'Participant 3'!$K$42</definedName>
    <definedName name="marques3_2023">'Participant 3'!$L$42</definedName>
    <definedName name="marques4_2016">'Participant 4'!$E$42</definedName>
    <definedName name="marques4_2017">'Participant 4'!$F$42</definedName>
    <definedName name="marques4_2018">'Participant 4'!$G$42</definedName>
    <definedName name="marques4_2019">'Participant 4'!$H$42</definedName>
    <definedName name="marques4_2020">'Participant 4'!$I$42</definedName>
    <definedName name="marques4_2021">'Participant 4'!$J$42</definedName>
    <definedName name="marques4_2022">'Participant 4'!$K$42</definedName>
    <definedName name="marques4_2023">'Participant 4'!$L$42</definedName>
    <definedName name="marques5_2016">'Participant 5'!$E$42</definedName>
    <definedName name="marques5_2017">'Participant 5'!$F$42</definedName>
    <definedName name="marques5_2018">'Participant 5'!$G$42</definedName>
    <definedName name="marques5_2019">'Participant 5'!$H$42</definedName>
    <definedName name="marques5_2020">'Participant 5'!$I$42</definedName>
    <definedName name="marques5_2021">'Participant 5'!$J$42</definedName>
    <definedName name="marques5_2022">'Participant 5'!$K$42</definedName>
    <definedName name="marques5_2023">'Participant 5'!$L$42</definedName>
    <definedName name="marques6_2016">'Participant 6'!$E$42</definedName>
    <definedName name="marques6_2017">'Participant 6'!$F$42</definedName>
    <definedName name="marques6_2018">'Participant 6'!$G$42</definedName>
    <definedName name="marques6_2019">'Participant 6'!$H$42</definedName>
    <definedName name="marques6_2020">'Participant 6'!$I$42</definedName>
    <definedName name="marques6_2021">'Participant 6'!$J$42</definedName>
    <definedName name="marques6_2022">'Participant 6'!$K$42</definedName>
    <definedName name="marques6_2023">'Participant 6'!$L$42</definedName>
    <definedName name="marques7_2016">'Participant 7'!$E$42</definedName>
    <definedName name="marques7_2017">'Participant 7'!$F$42</definedName>
    <definedName name="marques7_2018">'Participant 7'!$G$42</definedName>
    <definedName name="marques7_2019">'Participant 7'!$H$42</definedName>
    <definedName name="marques7_2020">'Participant 7'!$I$42</definedName>
    <definedName name="marques7_2021">'Participant 7'!$J$42</definedName>
    <definedName name="marques7_2022">'Participant 7'!$K$42</definedName>
    <definedName name="marques7_2023">'Participant 7'!$L$42</definedName>
    <definedName name="marques8_2016">'Participant 8'!$E$42</definedName>
    <definedName name="marques8_2017">'Participant 8'!$F$42</definedName>
    <definedName name="marques8_2018">'Participant 8'!$G$42</definedName>
    <definedName name="marques8_2019">'Participant 8'!$H$42</definedName>
    <definedName name="marques8_2020">'Participant 8'!$I$42</definedName>
    <definedName name="marques8_2021">'Participant 8'!$J$42</definedName>
    <definedName name="marques8_2022">'Participant 8'!$K$42</definedName>
    <definedName name="marques8_2023">'Participant 8'!$L$42</definedName>
    <definedName name="marques9_2016">'Participant 9 '!$E$42</definedName>
    <definedName name="marques9_2017">'Participant 9 '!$F$42</definedName>
    <definedName name="marques9_2018">'Participant 9 '!$G$42</definedName>
    <definedName name="marques9_2019">'Participant 9 '!$H$42</definedName>
    <definedName name="marques9_2020">'Participant 9 '!$I$42</definedName>
    <definedName name="marques9_2021">'Participant 9 '!$J$42</definedName>
    <definedName name="marques9_2022">'Participant 9 '!$K$42</definedName>
    <definedName name="marques9_2023">'Participant 9 '!$L$42</definedName>
    <definedName name="nif" localSheetId="10">#REF!</definedName>
    <definedName name="nif" localSheetId="11">#REF!</definedName>
    <definedName name="nif" localSheetId="5">#REF!</definedName>
    <definedName name="nif" localSheetId="6">#REF!</definedName>
    <definedName name="nif" localSheetId="7">#REF!</definedName>
    <definedName name="nif" localSheetId="9">#REF!</definedName>
    <definedName name="nif">#REF!</definedName>
    <definedName name="nif_1">Sol·licitant!$C$8</definedName>
    <definedName name="nif_10">'Participant 9 '!$C$8</definedName>
    <definedName name="nif_11">'Participant 10'!$C$8</definedName>
    <definedName name="nif_12">'Participant 11'!$C$8</definedName>
    <definedName name="nif_2">'Participant 1'!$C$8</definedName>
    <definedName name="nif_3">'Participant 2'!$C$8</definedName>
    <definedName name="nif_4">'Participant 3'!$C$8</definedName>
    <definedName name="nif_5">'Participant 4'!$C$8</definedName>
    <definedName name="nif_6">'Participant 5'!$C$8</definedName>
    <definedName name="nif_7">'Participant 6'!$C$8</definedName>
    <definedName name="nif_8">'Participant 7'!$C$8</definedName>
    <definedName name="nif_9">'Participant 8'!$C$8</definedName>
    <definedName name="nomemp1">Sol·licitant!$C$7</definedName>
    <definedName name="nomemp10">'Participant 9 '!$C$7</definedName>
    <definedName name="nomemp11">'Participant 10'!$C$7</definedName>
    <definedName name="nomemp12">'Participant 11'!$C$7</definedName>
    <definedName name="nomemp2">'Participant 1'!$C$7</definedName>
    <definedName name="nomemp3">'Participant 2'!$C$7</definedName>
    <definedName name="nomemp4">'Participant 3'!$C$7</definedName>
    <definedName name="nomemp5">'Participant 4'!$C$7</definedName>
    <definedName name="nomemp6">'Participant 5'!$C$7</definedName>
    <definedName name="nomemp7">'Participant 6'!$C$7</definedName>
    <definedName name="nomemp8">'Participant 7'!$C$7</definedName>
    <definedName name="nomemp9">'Participant 8'!$C$7</definedName>
    <definedName name="oportunitats1_2017">'Participant 1'!$F$48</definedName>
    <definedName name="oportunitats1_2018">'Participant 1'!$G$48</definedName>
    <definedName name="oportunitats1_2019">'Participant 1'!$H$48</definedName>
    <definedName name="oportunitats1_2020">'Participant 1'!$I$48</definedName>
    <definedName name="oportunitats1_2021">'Participant 1'!$J$48</definedName>
    <definedName name="oportunitats1_2022">'Participant 1'!$K$48</definedName>
    <definedName name="oportunitats1_2023">'Participant 1'!$L$48</definedName>
    <definedName name="oportunitats10_2016">'Participant 10'!$E$48</definedName>
    <definedName name="oportunitats10_2017">'Participant 10'!$F$48</definedName>
    <definedName name="oportunitats10_2018">'Participant 10'!$G$48</definedName>
    <definedName name="oportunitats10_2019">'Participant 10'!$H$48</definedName>
    <definedName name="oportunitats10_2020">'Participant 10'!$I$48</definedName>
    <definedName name="oportunitats10_2021">'Participant 10'!$J$48</definedName>
    <definedName name="oportunitats10_2022">'Participant 10'!$K$48</definedName>
    <definedName name="oportunitats10_2023">'Participant 10'!$L$48</definedName>
    <definedName name="oportunitats11_2016">'Participant 11'!$E$48</definedName>
    <definedName name="oportunitats11_2017">'Participant 11'!$F$48</definedName>
    <definedName name="oportunitats11_2018">'Participant 11'!$G$48</definedName>
    <definedName name="oportunitats11_2019">'Participant 11'!$H$48</definedName>
    <definedName name="oportunitats11_2020">'Participant 11'!$I$48</definedName>
    <definedName name="oportunitats11_2021">'Participant 11'!$J$48</definedName>
    <definedName name="oportunitats11_2022">'Participant 11'!$K$48</definedName>
    <definedName name="oportunitats11_2023">'Participant 11'!$L$48</definedName>
    <definedName name="oportunitats2_2016">'Participant 2'!$E$48</definedName>
    <definedName name="oportunitats2_2017">'Participant 2'!$F$48</definedName>
    <definedName name="oportunitats2_2018">'Participant 2'!$G$48</definedName>
    <definedName name="oportunitats2_2019">'Participant 2'!$H$48</definedName>
    <definedName name="oportunitats2_2020">'Participant 2'!$I$48</definedName>
    <definedName name="oportunitats2_2021">'Participant 2'!$J$48</definedName>
    <definedName name="oportunitats2_2022">'Participant 2'!$K$48</definedName>
    <definedName name="oportunitats2_2023">'Participant 2'!$L$48</definedName>
    <definedName name="oportunitats2016">'Participant 1'!$E$48</definedName>
    <definedName name="oportunitats2017">Sol·licitant!$F$49</definedName>
    <definedName name="oportunitats2018">Sol·licitant!$G$49</definedName>
    <definedName name="oportunitats2019">Sol·licitant!$H$49</definedName>
    <definedName name="oportunitats2020">Sol·licitant!$I$49</definedName>
    <definedName name="oportunitats2021">Sol·licitant!$J$49</definedName>
    <definedName name="oportunitats2022">Sol·licitant!$K$49</definedName>
    <definedName name="oportunitats2023">Sol·licitant!$L$49</definedName>
    <definedName name="oportunitats3_2016">'Participant 3'!$E$48</definedName>
    <definedName name="oportunitats3_2017">'Participant 3'!$F$48</definedName>
    <definedName name="oportunitats3_2018">'Participant 3'!$G$48</definedName>
    <definedName name="oportunitats3_2019">'Participant 3'!$H$48</definedName>
    <definedName name="oportunitats3_2020">'Participant 3'!$I$48</definedName>
    <definedName name="oportunitats3_2021">'Participant 3'!$J$48</definedName>
    <definedName name="oportunitats3_2022">'Participant 3'!$K$48</definedName>
    <definedName name="oportunitats3_2023">'Participant 3'!$L$48</definedName>
    <definedName name="oportunitats4_2016">'Participant 4'!$E$48</definedName>
    <definedName name="oportunitats4_2017">'Participant 4'!$F$48</definedName>
    <definedName name="oportunitats4_2018">'Participant 4'!$G$48</definedName>
    <definedName name="oportunitats4_2019">'Participant 4'!$H$48</definedName>
    <definedName name="oportunitats4_2020">'Participant 4'!$I$48</definedName>
    <definedName name="oportunitats4_2021">'Participant 4'!$J$48</definedName>
    <definedName name="oportunitats4_2022">'Participant 4'!$K$48</definedName>
    <definedName name="oportunitats4_2023">'Participant 4'!$L$48</definedName>
    <definedName name="oportunitats5_2016">'Participant 5'!$E$48</definedName>
    <definedName name="oportunitats5_2017">'Participant 5'!$F$48</definedName>
    <definedName name="oportunitats5_2018">'Participant 5'!$G$48</definedName>
    <definedName name="oportunitats5_2019">'Participant 5'!$H$48</definedName>
    <definedName name="oportunitats5_2020">'Participant 5'!$I$48</definedName>
    <definedName name="oportunitats5_2021">'Participant 5'!$J$48</definedName>
    <definedName name="oportunitats5_2022">'Participant 5'!$K$48</definedName>
    <definedName name="oportunitats5_2023">'Participant 5'!$L$48</definedName>
    <definedName name="oportunitats6_2016">'Participant 6'!$E$48</definedName>
    <definedName name="oportunitats6_2017">'Participant 6'!$F$48</definedName>
    <definedName name="oportunitats6_2018">'Participant 6'!$G$48</definedName>
    <definedName name="oportunitats6_2019">'Participant 6'!$H$48</definedName>
    <definedName name="oportunitats6_2020">'Participant 6'!$I$48</definedName>
    <definedName name="oportunitats6_2021">'Participant 6'!$J$48</definedName>
    <definedName name="oportunitats6_2022">'Participant 6'!$K$48</definedName>
    <definedName name="oportunitats6_2023">'Participant 6'!$L$48</definedName>
    <definedName name="oportunitats7_2016">'Participant 7'!$E$48</definedName>
    <definedName name="oportunitats7_2017">'Participant 7'!$F$48</definedName>
    <definedName name="oportunitats7_2018">'Participant 7'!$G$48</definedName>
    <definedName name="oportunitats7_2019">'Participant 7'!$H$48</definedName>
    <definedName name="oportunitats7_2020">'Participant 7'!$I$48</definedName>
    <definedName name="oportunitats7_2021">'Participant 7'!$J$48</definedName>
    <definedName name="oportunitats7_2022">'Participant 7'!$K$48</definedName>
    <definedName name="oportunitats7_2023">'Participant 7'!$L$48</definedName>
    <definedName name="oportunitats8_2016">'Participant 8'!$E$48</definedName>
    <definedName name="oportunitats8_2017">'Participant 8'!$F$48</definedName>
    <definedName name="oportunitats8_2018">'Participant 8'!$G$48</definedName>
    <definedName name="oportunitats8_2019">'Participant 8'!$H$48</definedName>
    <definedName name="oportunitats8_2020">'Participant 8'!$I$48</definedName>
    <definedName name="oportunitats8_2021">'Participant 8'!$J$48</definedName>
    <definedName name="oportunitats8_2022">'Participant 8'!$K$48</definedName>
    <definedName name="oportunitats8_2023">'Participant 8'!$L$48</definedName>
    <definedName name="oportunitats9_2016">'Participant 9 '!$E$48</definedName>
    <definedName name="oportunitats9_2017">'Participant 9 '!$F$48</definedName>
    <definedName name="oportunitats9_2018">'Participant 9 '!$G$48</definedName>
    <definedName name="oportunitats9_2019">'Participant 9 '!$H$48</definedName>
    <definedName name="oportunitats9_2020">'Participant 9 '!$I$48</definedName>
    <definedName name="oportunitats9_2021">'Participant 9 '!$J$48</definedName>
    <definedName name="oportunitats9_2022">'Participant 9 '!$K$48</definedName>
    <definedName name="oportunitats9_2023">'Participant 9 '!$L$48</definedName>
    <definedName name="oporunitats1_2016">Sol·licitant!$E$49</definedName>
    <definedName name="patents1_2016">Sol·licitant!$E$42</definedName>
    <definedName name="patents1_2017">'Participant 1'!$F$41</definedName>
    <definedName name="patents1_2018">'Participant 1'!$G$41</definedName>
    <definedName name="patents1_2019">'Participant 1'!$H$41</definedName>
    <definedName name="patents1_2020">'Participant 1'!$I$41</definedName>
    <definedName name="patents1_2021">'Participant 1'!$J$41</definedName>
    <definedName name="patents1_2022">'Participant 1'!$K$41</definedName>
    <definedName name="patents1_2023">'Participant 1'!$L$41</definedName>
    <definedName name="patents10_2016">'Participant 10'!$E$41</definedName>
    <definedName name="patents10_2017">'Participant 10'!$F$41</definedName>
    <definedName name="patents10_2018">'Participant 10'!$G$41</definedName>
    <definedName name="patents10_2019">'Participant 10'!$H$41</definedName>
    <definedName name="patents10_2020">'Participant 10'!$I$41</definedName>
    <definedName name="patents10_2021">'Participant 10'!$J$41</definedName>
    <definedName name="patents10_2022">'Participant 10'!$K$41</definedName>
    <definedName name="patents10_2023">'Participant 10'!$L$41</definedName>
    <definedName name="patents11_2016">'Participant 11'!$E$41</definedName>
    <definedName name="patents11_2017">'Participant 11'!$F$41</definedName>
    <definedName name="patents11_2018">'Participant 11'!$G$41</definedName>
    <definedName name="patents11_2019">'Participant 11'!$H$41</definedName>
    <definedName name="patents11_2020">'Participant 11'!$I$41</definedName>
    <definedName name="patents11_2021">'Participant 11'!$J$41</definedName>
    <definedName name="patents11_2022">'Participant 11'!$K$41</definedName>
    <definedName name="patents11_2023">'Participant 11'!$L$41</definedName>
    <definedName name="patents2_2016">'Participant 2'!$E$41</definedName>
    <definedName name="patents2_2017">'Participant 2'!$F$41</definedName>
    <definedName name="patents2_2018">'Participant 2'!$G$41</definedName>
    <definedName name="patents2_2019">'Participant 2'!$H$41</definedName>
    <definedName name="patents2_2020">'Participant 2'!$I$41</definedName>
    <definedName name="patents2_2021">'Participant 2'!$J$41</definedName>
    <definedName name="patents2_2022">'Participant 2'!$K$41</definedName>
    <definedName name="patents2_2023">'Participant 2'!$L$41</definedName>
    <definedName name="patents2016">'Participant 1'!$E$41</definedName>
    <definedName name="patents2017">Sol·licitant!$F$42</definedName>
    <definedName name="patents2018">Sol·licitant!$G$42</definedName>
    <definedName name="patents2019">Sol·licitant!$H$42</definedName>
    <definedName name="patents2020">Sol·licitant!$I$42</definedName>
    <definedName name="patents2021">Sol·licitant!$J$42</definedName>
    <definedName name="patents2022">Sol·licitant!$K$42</definedName>
    <definedName name="patents2023">Sol·licitant!$L$42</definedName>
    <definedName name="patents3_2016">'Participant 3'!$E$41</definedName>
    <definedName name="patents3_2017">'Participant 3'!$F$41</definedName>
    <definedName name="patents3_2018">'Participant 3'!$G$41</definedName>
    <definedName name="patents3_2019">'Participant 3'!$H$41</definedName>
    <definedName name="patents3_2020">'Participant 3'!$I$41</definedName>
    <definedName name="patents3_2021">'Participant 3'!$J$41</definedName>
    <definedName name="patents3_2022">'Participant 3'!$K$41</definedName>
    <definedName name="patents3_2023">'Participant 3'!$L$41</definedName>
    <definedName name="patents4_2016">'Participant 4'!$E$41</definedName>
    <definedName name="patents4_2017">'Participant 4'!$F$41</definedName>
    <definedName name="patents4_2018">'Participant 4'!$G$41</definedName>
    <definedName name="patents4_2019">'Participant 4'!$H$41</definedName>
    <definedName name="patents4_2020">'Participant 4'!$I$41</definedName>
    <definedName name="patents4_2021">'Participant 4'!$J$41</definedName>
    <definedName name="patents4_2022">'Participant 4'!$K$41</definedName>
    <definedName name="patents4_2023">'Participant 4'!$L$41</definedName>
    <definedName name="patents5_2016">'Participant 5'!$E$41</definedName>
    <definedName name="patents5_2017">'Participant 5'!$F$41</definedName>
    <definedName name="patents5_2018">'Participant 5'!$G$41</definedName>
    <definedName name="patents5_2019">'Participant 5'!$H$41</definedName>
    <definedName name="patents5_2020">'Participant 5'!$I$41</definedName>
    <definedName name="patents5_2021">'Participant 5'!$J$41</definedName>
    <definedName name="patents5_2022">'Participant 5'!$K$41</definedName>
    <definedName name="patents5_2023">'Participant 5'!$L$41</definedName>
    <definedName name="patents6_2016">'Participant 6'!$E$41</definedName>
    <definedName name="patents6_2017">'Participant 6'!$F$41</definedName>
    <definedName name="patents6_2018">'Participant 6'!$G$41</definedName>
    <definedName name="patents6_2019">'Participant 6'!$H$41</definedName>
    <definedName name="patents6_2020">'Participant 6'!$I$41</definedName>
    <definedName name="patents6_2021">'Participant 6'!$J$41</definedName>
    <definedName name="patents6_2022">'Participant 6'!$K$41</definedName>
    <definedName name="patents6_2023">'Participant 6'!$L$41</definedName>
    <definedName name="patents7_2016">'Participant 7'!$E$41</definedName>
    <definedName name="patents7_2017">'Participant 7'!$F$41</definedName>
    <definedName name="patents7_2018">'Participant 7'!$G$41</definedName>
    <definedName name="patents7_2019">'Participant 7'!$H$41</definedName>
    <definedName name="patents7_2020">'Participant 7'!$I$41</definedName>
    <definedName name="patents7_2021">'Participant 7'!$J$41</definedName>
    <definedName name="patents7_2022">'Participant 7'!$K$41</definedName>
    <definedName name="patents7_2023">'Participant 7'!$L$41</definedName>
    <definedName name="patents8_2016">'Participant 8'!$E$41</definedName>
    <definedName name="patents8_2017">'Participant 8'!$F$41</definedName>
    <definedName name="patents8_2018">'Participant 8'!$G$41</definedName>
    <definedName name="patents8_2019">'Participant 8'!$H$41</definedName>
    <definedName name="patents8_2020">'Participant 8'!$I$41</definedName>
    <definedName name="patents8_2021">'Participant 8'!$J$41</definedName>
    <definedName name="patents8_2022">'Participant 8'!$K$41</definedName>
    <definedName name="patents8_2023">'Participant 8'!$L$41</definedName>
    <definedName name="patents9_2016">'Participant 9 '!$E$41</definedName>
    <definedName name="patents9_2017">'Participant 9 '!$F$41</definedName>
    <definedName name="patents9_2018">'Participant 9 '!$G$41</definedName>
    <definedName name="patents9_2019">'Participant 9 '!$H$41</definedName>
    <definedName name="patents9_2020">'Participant 9 '!$I$41</definedName>
    <definedName name="patents9_2021">'Participant 9 '!$J$41</definedName>
    <definedName name="patents9_2022">'Participant 9 '!$K$41</definedName>
    <definedName name="patents9_2023">'Participant 9 '!$L$41</definedName>
    <definedName name="PO" localSheetId="10">'Participant 2'!#REF!</definedName>
    <definedName name="PO" localSheetId="11">'Participant 2'!#REF!</definedName>
    <definedName name="PO" localSheetId="6">'Participant 2'!#REF!</definedName>
    <definedName name="PO" localSheetId="7">'Participant 2'!#REF!</definedName>
    <definedName name="PO" localSheetId="9">'Participant 2'!#REF!</definedName>
    <definedName name="PO">'Participant 2'!#REF!</definedName>
    <definedName name="productivitat1_2016">Sol·licitant!$E$50</definedName>
    <definedName name="productivitat1_2017">'Participant 1'!$F$49</definedName>
    <definedName name="productivitat1_2018">'Participant 1'!$G$49</definedName>
    <definedName name="productivitat1_2019">'Participant 1'!$H$49</definedName>
    <definedName name="productivitat1_2020">'Participant 1'!$I$49</definedName>
    <definedName name="productivitat1_2021">'Participant 1'!$J$49</definedName>
    <definedName name="productivitat1_2022">'Participant 1'!$K$49</definedName>
    <definedName name="productivitat1_2023">'Participant 1'!$L$49</definedName>
    <definedName name="productivitat10_2016">'Participant 10'!$E$49</definedName>
    <definedName name="productivitat10_2017">'Participant 10'!$F$49</definedName>
    <definedName name="productivitat10_2018">'Participant 10'!$G$49</definedName>
    <definedName name="productivitat10_2019">'Participant 10'!$H$49</definedName>
    <definedName name="productivitat10_2020">'Participant 10'!$I$49</definedName>
    <definedName name="productivitat10_2021">'Participant 10'!$J$49</definedName>
    <definedName name="productivitat10_2022">'Participant 10'!$K$49</definedName>
    <definedName name="productivitat10_2023">'Participant 10'!$L$49</definedName>
    <definedName name="productivitat11_2016">'Participant 11'!$E$49</definedName>
    <definedName name="productivitat11_2017">'Participant 11'!$F$49</definedName>
    <definedName name="productivitat11_2018">'Participant 11'!$G$49</definedName>
    <definedName name="productivitat11_2019">'Participant 11'!$H$49</definedName>
    <definedName name="productivitat11_2020">'Participant 11'!$I$49</definedName>
    <definedName name="productivitat11_2021">'Participant 11'!$J$49</definedName>
    <definedName name="productivitat11_2022">'Participant 11'!$K$49</definedName>
    <definedName name="productivitat11_2023">'Participant 11'!$L$49</definedName>
    <definedName name="productivitat2_2016">'Participant 2'!$E$49</definedName>
    <definedName name="productivitat2_2017">'Participant 2'!$F$49</definedName>
    <definedName name="productivitat2_2018">'Participant 2'!$G$49</definedName>
    <definedName name="productivitat2_2019">'Participant 2'!$H$49</definedName>
    <definedName name="productivitat2_2020">'Participant 2'!$I$49</definedName>
    <definedName name="productivitat2_2021">'Participant 2'!$J$49</definedName>
    <definedName name="productivitat2_2022">'Participant 2'!$K$49</definedName>
    <definedName name="productivitat2_2023">'Participant 2'!$L$49</definedName>
    <definedName name="productivitat2016">'Participant 1'!$E$49</definedName>
    <definedName name="productivitat2017">Sol·licitant!$F$50</definedName>
    <definedName name="productivitat2018">Sol·licitant!$G$50</definedName>
    <definedName name="productivitat2019">Sol·licitant!$H$50</definedName>
    <definedName name="productivitat2020">Sol·licitant!$I$50</definedName>
    <definedName name="productivitat2021">Sol·licitant!$J$50</definedName>
    <definedName name="productivitat2022">Sol·licitant!$K$50</definedName>
    <definedName name="productivitat2023">Sol·licitant!$L$50</definedName>
    <definedName name="productivitat3_2016">'Participant 3'!$E$49</definedName>
    <definedName name="productivitat3_2017">'Participant 3'!$F$49</definedName>
    <definedName name="productivitat3_2018">'Participant 3'!$G$49</definedName>
    <definedName name="productivitat3_2019">'Participant 3'!$H$49</definedName>
    <definedName name="productivitat3_2020">'Participant 3'!$I$49</definedName>
    <definedName name="productivitat3_2021">'Participant 3'!$J$49</definedName>
    <definedName name="productivitat3_2022">'Participant 3'!$K$49</definedName>
    <definedName name="productivitat3_2023">'Participant 3'!$L$49</definedName>
    <definedName name="productivitat4_2016">'Participant 4'!$E$49</definedName>
    <definedName name="productivitat4_2017">'Participant 4'!$F$49</definedName>
    <definedName name="productivitat4_2018">'Participant 4'!$G$49</definedName>
    <definedName name="productivitat4_2019">'Participant 4'!$H$49</definedName>
    <definedName name="productivitat4_2020">'Participant 4'!$I$49</definedName>
    <definedName name="productivitat4_2021">'Participant 4'!$J$49</definedName>
    <definedName name="productivitat4_2022">'Participant 4'!$K$49</definedName>
    <definedName name="productivitat4_2023">'Participant 4'!$L$49</definedName>
    <definedName name="productivitat5_2016">'Participant 5'!$E$49</definedName>
    <definedName name="productivitat5_2017">'Participant 5'!$F$49</definedName>
    <definedName name="productivitat5_2018">'Participant 5'!$G$49</definedName>
    <definedName name="productivitat5_2019">'Participant 5'!$H$49</definedName>
    <definedName name="productivitat5_2020">'Participant 5'!$I$49</definedName>
    <definedName name="productivitat5_2021">'Participant 5'!$J$49</definedName>
    <definedName name="productivitat5_2022">'Participant 5'!$K$49</definedName>
    <definedName name="productivitat5_2023">'Participant 5'!$L$49</definedName>
    <definedName name="productivitat6_2016">'Participant 6'!$E$49</definedName>
    <definedName name="productivitat6_2017">'Participant 6'!$F$49</definedName>
    <definedName name="productivitat6_2018">'Participant 6'!$G$49</definedName>
    <definedName name="productivitat6_2019">'Participant 6'!$H$49</definedName>
    <definedName name="productivitat6_2020">'Participant 6'!$I$49</definedName>
    <definedName name="productivitat6_2021">'Participant 6'!$J$49</definedName>
    <definedName name="productivitat6_2022">'Participant 6'!$K$49</definedName>
    <definedName name="productivitat6_2023">'Participant 6'!$L$49</definedName>
    <definedName name="productivitat7_2016">'Participant 7'!$E$49</definedName>
    <definedName name="productivitat7_2017">'Participant 7'!$F$49</definedName>
    <definedName name="productivitat7_2018">'Participant 7'!$G$49</definedName>
    <definedName name="productivitat7_2019">'Participant 7'!$H$49</definedName>
    <definedName name="productivitat7_2020">'Participant 7'!$I$49</definedName>
    <definedName name="productivitat7_2021">'Participant 7'!$J$49</definedName>
    <definedName name="productivitat7_2022">'Participant 7'!$K$49</definedName>
    <definedName name="productivitat7_2023">'Participant 7'!$L$49</definedName>
    <definedName name="productivitat8_2016">'Participant 8'!$E$49</definedName>
    <definedName name="productivitat8_2017">'Participant 8'!$F$49</definedName>
    <definedName name="productivitat8_2018">'Participant 8'!$G$49</definedName>
    <definedName name="productivitat8_2019">'Participant 8'!$H$49</definedName>
    <definedName name="productivitat8_2020">'Participant 8'!$I$49</definedName>
    <definedName name="productivitat8_2021">'Participant 8'!$J$49</definedName>
    <definedName name="productivitat8_2022">'Participant 8'!$K$49</definedName>
    <definedName name="productivitat8_2023">'Participant 8'!$L$49</definedName>
    <definedName name="productivitat9_2016">'Participant 9 '!$E$49</definedName>
    <definedName name="productivitat9_2017">'Participant 9 '!$F$49</definedName>
    <definedName name="productivitat9_2018">'Participant 9 '!$G$49</definedName>
    <definedName name="productivitat9_2019">'Participant 9 '!$H$49</definedName>
    <definedName name="productivitat9_2020">'Participant 9 '!$I$49</definedName>
    <definedName name="productivitat9_2021">'Participant 9 '!$J$49</definedName>
    <definedName name="productivitat9_2022">'Participant 9 '!$K$49</definedName>
    <definedName name="productivitat9_2023">'Participant 9 '!$L$49</definedName>
    <definedName name="residus1_2016">Sol·licitant!$E$54</definedName>
    <definedName name="residus1_2017">'Participant 1'!$F$53</definedName>
    <definedName name="residus1_2018">'Participant 1'!$G$53</definedName>
    <definedName name="residus1_2019">'Participant 1'!$H$53</definedName>
    <definedName name="residus1_2020">'Participant 1'!$I$53</definedName>
    <definedName name="residus1_2021">'Participant 1'!$J$53</definedName>
    <definedName name="residus1_2022">'Participant 1'!$K$53</definedName>
    <definedName name="residus1_2023">'Participant 1'!$L$53</definedName>
    <definedName name="residus10_2016">'Participant 10'!$E$53</definedName>
    <definedName name="residus10_2017">'Participant 10'!$F$53</definedName>
    <definedName name="residus10_2018">'Participant 10'!$G$53</definedName>
    <definedName name="residus10_2019">'Participant 10'!$H$53</definedName>
    <definedName name="residus10_2020">'Participant 10'!$I$53</definedName>
    <definedName name="residus10_2021">'Participant 10'!$J$53</definedName>
    <definedName name="residus10_2022">'Participant 10'!$K$53</definedName>
    <definedName name="residus10_2023">'Participant 10'!$L$53</definedName>
    <definedName name="residus11_2016">'Participant 11'!$E$53</definedName>
    <definedName name="residus11_2017">'Participant 11'!$F$53</definedName>
    <definedName name="residus11_2018">'Participant 11'!$G$53</definedName>
    <definedName name="residus11_2019">'Participant 11'!$H$53</definedName>
    <definedName name="residus11_2020">'Participant 11'!$I$53</definedName>
    <definedName name="residus11_2021">'Participant 11'!$J$53</definedName>
    <definedName name="residus11_2022">'Participant 11'!$K$53</definedName>
    <definedName name="residus11_2023">'Participant 11'!$L$53</definedName>
    <definedName name="residus2_2016">'Participant 2'!$E$53</definedName>
    <definedName name="residus2_2017">'Participant 2'!$F$53</definedName>
    <definedName name="residus2_2018">'Participant 2'!$G$53</definedName>
    <definedName name="residus2_2019">'Participant 2'!$H$53</definedName>
    <definedName name="residus2_2020">'Participant 2'!$I$53</definedName>
    <definedName name="residus2_2021">'Participant 2'!$J$53</definedName>
    <definedName name="residus2_2022" localSheetId="10">'Participant 2'!#REF!</definedName>
    <definedName name="residus2_2022" localSheetId="11">'Participant 2'!#REF!</definedName>
    <definedName name="residus2_2022" localSheetId="5">'Participant 2'!#REF!</definedName>
    <definedName name="residus2_2022" localSheetId="6">'Participant 2'!#REF!</definedName>
    <definedName name="residus2_2022" localSheetId="7">'Participant 2'!#REF!</definedName>
    <definedName name="residus2_2022" localSheetId="9">'Participant 2'!#REF!</definedName>
    <definedName name="residus2_2022">'Participant 2'!$K$53</definedName>
    <definedName name="residus2_2023">'Participant 2'!$L$53</definedName>
    <definedName name="residus2016">'Participant 1'!$E$53</definedName>
    <definedName name="residus2017">Sol·licitant!$F$54</definedName>
    <definedName name="residus2018">Sol·licitant!$G$54</definedName>
    <definedName name="residus2019">Sol·licitant!$H$54</definedName>
    <definedName name="residus2020">Sol·licitant!$I$54</definedName>
    <definedName name="residus2021">Sol·licitant!$J$54</definedName>
    <definedName name="residus2022">Sol·licitant!$K$54</definedName>
    <definedName name="residus2023">Sol·licitant!$L$54</definedName>
    <definedName name="residus3_2016">'Participant 3'!$E$53</definedName>
    <definedName name="residus3_2017">'Participant 3'!$F$53</definedName>
    <definedName name="residus3_2018">'Participant 3'!$G$53</definedName>
    <definedName name="residus3_2019">'Participant 3'!$H$53</definedName>
    <definedName name="residus3_2020">'Participant 3'!$I$53</definedName>
    <definedName name="residus3_2021">'Participant 3'!$J$53</definedName>
    <definedName name="residus3_2022">'Participant 3'!$K$53</definedName>
    <definedName name="residus3_2023">'Participant 3'!$L$53</definedName>
    <definedName name="residus4_2016">'Participant 4'!$E$53</definedName>
    <definedName name="residus4_2017">'Participant 4'!$F$53</definedName>
    <definedName name="residus4_2018">'Participant 4'!$G$53</definedName>
    <definedName name="residus4_2019">'Participant 4'!$H$53</definedName>
    <definedName name="residus4_2020">'Participant 4'!$I$53</definedName>
    <definedName name="residus4_2021">'Participant 4'!$J$53</definedName>
    <definedName name="residus4_2022">'Participant 4'!$K$53</definedName>
    <definedName name="residus4_2023">'Participant 4'!$L$53</definedName>
    <definedName name="residus5_2016">'Participant 5'!$E$53</definedName>
    <definedName name="residus5_2017">'Participant 5'!$F$53</definedName>
    <definedName name="residus5_2018">'Participant 5'!$G$53</definedName>
    <definedName name="residus5_2019">'Participant 5'!$H$53</definedName>
    <definedName name="residus5_2020">'Participant 5'!$I$53</definedName>
    <definedName name="residus5_2021">'Participant 5'!$J$53</definedName>
    <definedName name="residus5_2022">'Participant 5'!$K$53</definedName>
    <definedName name="residus5_2023">'Participant 5'!$L$53</definedName>
    <definedName name="residus6_2016">'Participant 6'!$E$53</definedName>
    <definedName name="residus6_2017">'Participant 6'!$F$53</definedName>
    <definedName name="residus6_2018">'Participant 6'!$G$53</definedName>
    <definedName name="residus6_2019">'Participant 6'!$H$53</definedName>
    <definedName name="residus6_2020">'Participant 6'!$I$53</definedName>
    <definedName name="residus6_2021">'Participant 6'!$J$53</definedName>
    <definedName name="residus6_2022">'Participant 6'!$K$53</definedName>
    <definedName name="residus6_2023">'Participant 6'!$L$53</definedName>
    <definedName name="residus7_2016">'Participant 7'!$E$53</definedName>
    <definedName name="residus7_2017">'Participant 7'!$F$53</definedName>
    <definedName name="residus7_2018">'Participant 7'!$G$53</definedName>
    <definedName name="residus7_2019">'Participant 7'!$H$53</definedName>
    <definedName name="residus7_2020">'Participant 7'!$I$53</definedName>
    <definedName name="residus7_2021">'Participant 7'!$J$53</definedName>
    <definedName name="residus7_2022">'Participant 7'!$K$53</definedName>
    <definedName name="residus7_2023">'Participant 7'!$L$53</definedName>
    <definedName name="residus8_2016">'Participant 8'!$E$53</definedName>
    <definedName name="residus8_2017">'Participant 8'!$F$53</definedName>
    <definedName name="residus8_2018">'Participant 8'!$G$53</definedName>
    <definedName name="residus8_2019">'Participant 8'!$H$53</definedName>
    <definedName name="residus8_2020">'Participant 8'!$I$53</definedName>
    <definedName name="residus8_2021">'Participant 8'!$J$53</definedName>
    <definedName name="residus8_2022">'Participant 8'!$K$53</definedName>
    <definedName name="residus8_2023">'Participant 8'!$L$53</definedName>
    <definedName name="residus9_2016">'Participant 9 '!$E$53</definedName>
    <definedName name="residus9_2017">'Participant 9 '!$F$53</definedName>
    <definedName name="residus9_2018">'Participant 9 '!$G$53</definedName>
    <definedName name="residus9_2019">'Participant 9 '!$H$53</definedName>
    <definedName name="residus9_2020">'Participant 9 '!$I$53</definedName>
    <definedName name="residus9_2021">'Participant 9 '!$J$53</definedName>
    <definedName name="residus9_2022">'Participant 9 '!$K$53</definedName>
    <definedName name="residus9_2023">'Participant 9 '!$L$53</definedName>
    <definedName name="RYJ" localSheetId="10">#REF!</definedName>
    <definedName name="RYJ" localSheetId="11">#REF!</definedName>
    <definedName name="RYJ" localSheetId="7">#REF!</definedName>
    <definedName name="RYJ" localSheetId="9">#REF!</definedName>
    <definedName name="RYJ">#REF!</definedName>
    <definedName name="SFSF" localSheetId="10">#REF!</definedName>
    <definedName name="SFSF" localSheetId="11">#REF!</definedName>
    <definedName name="SFSF" localSheetId="7">#REF!</definedName>
    <definedName name="SFSF" localSheetId="9">#REF!</definedName>
    <definedName name="SFSF">#REF!</definedName>
    <definedName name="spinoff1_2016">Sol·licitant!$E$41</definedName>
    <definedName name="spinoff1_2017">'Participant 1'!$F$40</definedName>
    <definedName name="spinoff1_2018">'Participant 1'!$G$40</definedName>
    <definedName name="spinoff1_2019">'Participant 1'!$H$40</definedName>
    <definedName name="spinoff1_2020">'Participant 1'!$I$40</definedName>
    <definedName name="spinoff1_2021">'Participant 1'!$J$40</definedName>
    <definedName name="spinoff1_2022">'Participant 1'!$K$40</definedName>
    <definedName name="spinoff1_2023">'Participant 1'!$L$40</definedName>
    <definedName name="spinoff1_2024">'Participant 1'!$M$40</definedName>
    <definedName name="spinoff10_2016">'Participant 10'!$E$40</definedName>
    <definedName name="spinoff10_2017">'Participant 10'!$F$40</definedName>
    <definedName name="spinoff10_2018">'Participant 10'!$G$40</definedName>
    <definedName name="spinoff10_2019">'Participant 10'!$H$40</definedName>
    <definedName name="spinoff10_2020">'Participant 10'!$I$40</definedName>
    <definedName name="spinoff10_2021">'Participant 10'!$J$40</definedName>
    <definedName name="spinoff10_2022">'Participant 10'!$K$40</definedName>
    <definedName name="spinoff10_2023">'Participant 10'!$L$40</definedName>
    <definedName name="spinoff11_2016">'Participant 11'!$E$40</definedName>
    <definedName name="spinoff11_2017">'Participant 11'!$F$40</definedName>
    <definedName name="spinoff11_2018">'Participant 11'!$G$40</definedName>
    <definedName name="spinoff11_2019">'Participant 11'!$H$40</definedName>
    <definedName name="spinoff11_2020">'Participant 11'!$I$40</definedName>
    <definedName name="spinoff11_2021">'Participant 11'!$J$40</definedName>
    <definedName name="spinoff11_2022">'Participant 11'!$K$40</definedName>
    <definedName name="spinoff11_2023">'Participant 11'!$L$40</definedName>
    <definedName name="spinoff2_2016">'Participant 2'!$E$40</definedName>
    <definedName name="spinoff2_2017">'Participant 2'!$F$40</definedName>
    <definedName name="spinoff2_2018">'Participant 2'!$G$40</definedName>
    <definedName name="spinoff2_2019">'Participant 2'!$H$40</definedName>
    <definedName name="spinoff2_2020">'Participant 2'!$I$40</definedName>
    <definedName name="spinoff2_2021">'Participant 2'!$J$40</definedName>
    <definedName name="spinoff2_2022">'Participant 2'!$K$40</definedName>
    <definedName name="spinoff2_2023">'Participant 2'!$L$40</definedName>
    <definedName name="spinoff2016">'Participant 1'!$E$40</definedName>
    <definedName name="spinoff2017">Sol·licitant!$F$41</definedName>
    <definedName name="spinoff2018">Sol·licitant!$G$41</definedName>
    <definedName name="spinoff2019">Sol·licitant!$H$41</definedName>
    <definedName name="spinoff2020">Sol·licitant!$I$41</definedName>
    <definedName name="spinoff2021">Sol·licitant!$J$41</definedName>
    <definedName name="spinoff2022">Sol·licitant!$K$41</definedName>
    <definedName name="spinoff2023">Sol·licitant!$L$41</definedName>
    <definedName name="spinoff3_2016">'Participant 3'!$E$40</definedName>
    <definedName name="spinoff3_2017">'Participant 3'!$F$40</definedName>
    <definedName name="spinoff3_2018">'Participant 3'!$G$40</definedName>
    <definedName name="spinoff3_2019">'Participant 3'!$H$40</definedName>
    <definedName name="spinoff3_2020">'Participant 3'!$I$40</definedName>
    <definedName name="spinoff3_2021">'Participant 3'!$J$40</definedName>
    <definedName name="spinoff3_2022">'Participant 3'!$K$40</definedName>
    <definedName name="spinoff3_2023">'Participant 3'!$L$40</definedName>
    <definedName name="spinoff4_2016">'Participant 4'!$E$40</definedName>
    <definedName name="spinoff4_2017">'Participant 4'!$F$40</definedName>
    <definedName name="spinoff4_2018">'Participant 4'!$G$40</definedName>
    <definedName name="spinoff4_2019">'Participant 4'!$H$40</definedName>
    <definedName name="spinoff4_2020">'Participant 4'!$I$40</definedName>
    <definedName name="spinoff4_2021">'Participant 4'!$J$40</definedName>
    <definedName name="spinoff4_2022">'Participant 4'!$K$40</definedName>
    <definedName name="spinoff4_2023">'Participant 4'!$L$40</definedName>
    <definedName name="spinoff5_2016">'Participant 5'!$E$40</definedName>
    <definedName name="spinoff5_2017">'Participant 5'!$F$40</definedName>
    <definedName name="spinoff5_2018">'Participant 5'!$G$40</definedName>
    <definedName name="spinoff5_2019">'Participant 5'!$H$40</definedName>
    <definedName name="spinoff5_2020">'Participant 5'!$I$40</definedName>
    <definedName name="spinoff5_2021">'Participant 5'!$J$40</definedName>
    <definedName name="spinoff5_2022">'Participant 5'!$K$40</definedName>
    <definedName name="spinoff5_2023">'Participant 5'!$L$40</definedName>
    <definedName name="spinoff6_2016">'Participant 6'!$E$40</definedName>
    <definedName name="spinoff6_2017">'Participant 6'!$F$40</definedName>
    <definedName name="spinoff6_2018">'Participant 6'!$G$40</definedName>
    <definedName name="spinoff6_2019">'Participant 6'!$H$40</definedName>
    <definedName name="spinoff6_2020">'Participant 6'!$I$40</definedName>
    <definedName name="spinoff6_2021">'Participant 6'!$J$40</definedName>
    <definedName name="spinoff6_2022">'Participant 6'!$K$40</definedName>
    <definedName name="spinoff6_2023">'Participant 6'!$L$40</definedName>
    <definedName name="spinoff7_2016">'Participant 7'!$E$40</definedName>
    <definedName name="spinoff7_2017">'Participant 7'!$F$40</definedName>
    <definedName name="spinoff7_2018">'Participant 7'!$G$40</definedName>
    <definedName name="spinoff7_2019">'Participant 7'!$H$40</definedName>
    <definedName name="spinoff7_2020">'Participant 7'!$I$40</definedName>
    <definedName name="spinoff7_2021">'Participant 7'!$J$40</definedName>
    <definedName name="spinoff7_2022">'Participant 7'!$K$40</definedName>
    <definedName name="spinoff7_2023">'Participant 7'!$L$40</definedName>
    <definedName name="spinoff8_2016">'Participant 8'!$E$40</definedName>
    <definedName name="spinoff8_2017">'Participant 8'!$F$40</definedName>
    <definedName name="spinoff8_2018">'Participant 8'!$G$40</definedName>
    <definedName name="spinoff8_2019">'Participant 8'!$H$40</definedName>
    <definedName name="spinoff8_2020">'Participant 8'!$I$40</definedName>
    <definedName name="spinoff8_2021">'Participant 8'!$J$40</definedName>
    <definedName name="spinoff8_2022">'Participant 8'!$K$40</definedName>
    <definedName name="spinoff8_2023">'Participant 8'!$L$40</definedName>
    <definedName name="spinoff9_2016">'Participant 9 '!$E$40</definedName>
    <definedName name="spinoff9_2017">'Participant 9 '!$F$40</definedName>
    <definedName name="spinoff9_2018">'Participant 9 '!$G$40</definedName>
    <definedName name="spinoff9_2019">'Participant 9 '!$H$40</definedName>
    <definedName name="spinoff9_2020">'Participant 9 '!$I$40</definedName>
    <definedName name="spinoff9_2021">'Participant 9 '!$J$40</definedName>
    <definedName name="spinoff9_2022">'Participant 9 '!$K$40</definedName>
    <definedName name="spinoff9_2023">'Participant 9 '!$L$40</definedName>
    <definedName name="subvencions1_2016">Sol·licitant!$E$15</definedName>
    <definedName name="subvencions1_2017">'Participant 1'!$F$14</definedName>
    <definedName name="subvencions1_2018">'Participant 1'!$G$14</definedName>
    <definedName name="subvencions1_2019">'Participant 1'!$H$14</definedName>
    <definedName name="subvencions1_2020">'Participant 1'!$I$14</definedName>
    <definedName name="subvencions1_2021">'Participant 1'!$J$14</definedName>
    <definedName name="subvencions1_2022">'Participant 1'!$K$14</definedName>
    <definedName name="subvencions1_2023">'Participant 1'!$L$14</definedName>
    <definedName name="subvencions10_2016">'Participant 10'!$E$14</definedName>
    <definedName name="subvencions10_2017">'Participant 10'!$F$14</definedName>
    <definedName name="subvencions10_2018">'Participant 10'!$G$14</definedName>
    <definedName name="subvencions10_2019">'Participant 10'!$H$14</definedName>
    <definedName name="subvencions10_2020">'Participant 10'!$I$14</definedName>
    <definedName name="subvencions10_2021">'Participant 10'!$J$14</definedName>
    <definedName name="subvencions10_2022">'Participant 10'!$K$14</definedName>
    <definedName name="subvencions10_2023">'Participant 10'!$L$14</definedName>
    <definedName name="subvencions11_2016">'Participant 11'!$E$14</definedName>
    <definedName name="subvencions11_2017">'Participant 11'!$F$14</definedName>
    <definedName name="subvencions11_2018">'Participant 11'!$G$14</definedName>
    <definedName name="subvencions11_2019">'Participant 11'!$H$14</definedName>
    <definedName name="subvencions11_2020">'Participant 11'!$I$14</definedName>
    <definedName name="subvencions11_2021">'Participant 11'!$J$14</definedName>
    <definedName name="subvencions11_2022">'Participant 11'!$K$14</definedName>
    <definedName name="subvencions11_2023">'Participant 11'!$L$14</definedName>
    <definedName name="subvencions2_2016">'Participant 2'!$E$14</definedName>
    <definedName name="subvencions2_2017">'Participant 2'!$F$14</definedName>
    <definedName name="subvencions2_2018">'Participant 2'!$G$14</definedName>
    <definedName name="subvencions2_2019">'Participant 2'!$H$14</definedName>
    <definedName name="subvencions2_2020">'Participant 2'!$I$14</definedName>
    <definedName name="subvencions2_2021">'Participant 2'!$J$14</definedName>
    <definedName name="subvencions2_2022">'Participant 2'!$K$14</definedName>
    <definedName name="subvencions2_2023">'Participant 2'!$L$14</definedName>
    <definedName name="subvencions2016">'Participant 1'!$E$14</definedName>
    <definedName name="subvencions2017">Sol·licitant!$F$15</definedName>
    <definedName name="subvencions2018">Sol·licitant!$G$15</definedName>
    <definedName name="subvencions2019">Sol·licitant!$H$15</definedName>
    <definedName name="subvencions2020">Sol·licitant!$I$15</definedName>
    <definedName name="subvencions2021">Sol·licitant!$J$15</definedName>
    <definedName name="subvencions2022">Sol·licitant!$K$15</definedName>
    <definedName name="subvencions2023">Sol·licitant!$L$15</definedName>
    <definedName name="subvencions3_2016">'Participant 3'!$E$14</definedName>
    <definedName name="subvencions3_2017">'Participant 3'!$F$14</definedName>
    <definedName name="subvencions3_2018">'Participant 3'!$G$14</definedName>
    <definedName name="subvencions3_2019">'Participant 3'!$H$14</definedName>
    <definedName name="subvencions3_2020">'Participant 3'!$I$14</definedName>
    <definedName name="subvencions3_2021">'Participant 3'!$J$14</definedName>
    <definedName name="subvencions3_2022">'Participant 3'!$K$14</definedName>
    <definedName name="subvencions3_2023">'Participant 3'!$L$14</definedName>
    <definedName name="subvencions4_2016">'Participant 4'!$E$14</definedName>
    <definedName name="subvencions4_2017">'Participant 4'!$F$14</definedName>
    <definedName name="subvencions4_2018">'Participant 4'!$G$14</definedName>
    <definedName name="subvencions4_2019">'Participant 4'!$H$14</definedName>
    <definedName name="subvencions4_2020">'Participant 4'!$I$14</definedName>
    <definedName name="subvencions4_2021">'Participant 4'!$J$14</definedName>
    <definedName name="subvencions4_2022">'Participant 4'!$K$14</definedName>
    <definedName name="subvencions4_2023">'Participant 4'!$L$14</definedName>
    <definedName name="subvencions5_2016">'Participant 5'!$E$14</definedName>
    <definedName name="subvencions5_2017">'Participant 5'!$F$14</definedName>
    <definedName name="subvencions5_2018">'Participant 5'!$G$14</definedName>
    <definedName name="subvencions5_2019">'Participant 5'!$H$14</definedName>
    <definedName name="subvencions5_2020">'Participant 5'!$I$14</definedName>
    <definedName name="subvencions5_2021">'Participant 5'!$J$14</definedName>
    <definedName name="subvencions5_2022">'Participant 5'!$K$14</definedName>
    <definedName name="subvencions5_2023">'Participant 5'!$L$14</definedName>
    <definedName name="subvencions6_2016">'Participant 6'!$E$14</definedName>
    <definedName name="subvencions6_2017">'Participant 6'!$F$14</definedName>
    <definedName name="subvencions6_2018">'Participant 6'!$G$14</definedName>
    <definedName name="subvencions6_2019">'Participant 6'!$H$14</definedName>
    <definedName name="subvencions6_2020">'Participant 6'!$I$14</definedName>
    <definedName name="subvencions6_2021">'Participant 6'!$J$14</definedName>
    <definedName name="subvencions6_2022">'Participant 6'!$K$14</definedName>
    <definedName name="subvencions6_2023">'Participant 6'!$L$14</definedName>
    <definedName name="subvencions7_2016">'Participant 7'!$E$14</definedName>
    <definedName name="subvencions7_2017">'Participant 7'!$F$14</definedName>
    <definedName name="subvencions7_2018">'Participant 7'!$G$14</definedName>
    <definedName name="subvencions7_2019">'Participant 7'!$H$14</definedName>
    <definedName name="subvencions7_2020">'Participant 7'!$I$14</definedName>
    <definedName name="subvencions7_2021">'Participant 7'!$J$14</definedName>
    <definedName name="subvencions7_2022">'Participant 7'!$K$14</definedName>
    <definedName name="subvencions7_2023">'Participant 7'!$L$14</definedName>
    <definedName name="subvencions8_2016">'Participant 8'!$E$14</definedName>
    <definedName name="subvencions8_2017">'Participant 8'!$F$14</definedName>
    <definedName name="subvencions8_2018">'Participant 8'!$G$14</definedName>
    <definedName name="subvencions8_2019">'Participant 8'!$H$14</definedName>
    <definedName name="subvencions8_2020">'Participant 8'!$I$14</definedName>
    <definedName name="subvencions8_2021">'Participant 8'!$J$14</definedName>
    <definedName name="subvencions8_2022">'Participant 8'!$K$14</definedName>
    <definedName name="subvencions8_2023">'Participant 8'!$L$14</definedName>
    <definedName name="subvencions9_2016">'Participant 9 '!$E$14</definedName>
    <definedName name="subvencions9_2017">'Participant 9 '!$F$14</definedName>
    <definedName name="subvencions9_2018">'Participant 9 '!$G$14</definedName>
    <definedName name="subvencions9_2019">'Participant 9 '!$H$14</definedName>
    <definedName name="subvencions9_2020">'Participant 9 '!$I$14</definedName>
    <definedName name="subvencions9_2021">'Participant 9 '!$J$14</definedName>
    <definedName name="subvencions9_2022">'Participant 9 '!$K$14</definedName>
    <definedName name="subvencions9_2023">'Participant 9 '!$L$14</definedName>
    <definedName name="universitats1_2016">Sol·licitant!$E$38</definedName>
    <definedName name="universitats1_2017">'Participant 1'!$F$37</definedName>
    <definedName name="universitats1_2018">'Participant 1'!$G$37</definedName>
    <definedName name="universitats1_2019">'Participant 1'!$H$37</definedName>
    <definedName name="universitats1_2020">'Participant 1'!$I$37</definedName>
    <definedName name="universitats1_2021">'Participant 1'!$J$37</definedName>
    <definedName name="universitats1_2022">'Participant 1'!$K$37</definedName>
    <definedName name="universitats1_2023">'Participant 1'!$L$37</definedName>
    <definedName name="universitats10_2016">'Participant 10'!$E$37</definedName>
    <definedName name="universitats10_2017">'Participant 10'!$F$37</definedName>
    <definedName name="universitats10_2018">'Participant 10'!$G$37</definedName>
    <definedName name="universitats10_2019">'Participant 10'!$H$37</definedName>
    <definedName name="universitats10_2020">'Participant 10'!$I$37</definedName>
    <definedName name="universitats10_2021">'Participant 10'!$J$37</definedName>
    <definedName name="universitats10_2022">'Participant 10'!$K$37</definedName>
    <definedName name="universitats10_2023">'Participant 10'!$L$37</definedName>
    <definedName name="universitats11_2016">'Participant 11'!$E$37</definedName>
    <definedName name="universitats11_2017">'Participant 11'!$F$37</definedName>
    <definedName name="universitats11_2018">'Participant 11'!$G$37</definedName>
    <definedName name="universitats11_2019">'Participant 11'!$H$37</definedName>
    <definedName name="universitats11_2020">'Participant 11'!$I$37</definedName>
    <definedName name="universitats11_2021">'Participant 11'!$J$37</definedName>
    <definedName name="universitats11_2022">'Participant 11'!$K$37</definedName>
    <definedName name="universitats11_2023">'Participant 11'!$L$37</definedName>
    <definedName name="universitats2_2016">'Participant 2'!$E$37</definedName>
    <definedName name="universitats2_2017">'Participant 2'!$F$37</definedName>
    <definedName name="universitats2_2018">'Participant 2'!$G$37</definedName>
    <definedName name="universitats2_2019">'Participant 2'!$H$37</definedName>
    <definedName name="universitats2_2020">'Participant 2'!$I$37</definedName>
    <definedName name="universitats2_2021">'Participant 2'!$J$37</definedName>
    <definedName name="universitats2_2022">'Participant 2'!$K$37</definedName>
    <definedName name="universitats2_2023">'Participant 2'!$L$37</definedName>
    <definedName name="universitats2016">'Participant 1'!$E$37</definedName>
    <definedName name="universitats2017">Sol·licitant!$F$38</definedName>
    <definedName name="universitats2018">Sol·licitant!$G$38</definedName>
    <definedName name="universitats2019">Sol·licitant!$H$38</definedName>
    <definedName name="universitats2020">Sol·licitant!$I$38</definedName>
    <definedName name="universitats2021">Sol·licitant!$J$38</definedName>
    <definedName name="universitats2022">Sol·licitant!$K$38</definedName>
    <definedName name="universitats2023">Sol·licitant!$L$38</definedName>
    <definedName name="universitats3_2016">'Participant 3'!$E$37</definedName>
    <definedName name="universitats3_2017">'Participant 3'!$F$37</definedName>
    <definedName name="universitats3_2018">'Participant 3'!$G$37</definedName>
    <definedName name="universitats3_2019">'Participant 3'!$H$37</definedName>
    <definedName name="universitats3_2020">'Participant 3'!$I$37</definedName>
    <definedName name="universitats3_2021">'Participant 3'!$J$37</definedName>
    <definedName name="universitats3_2022">'Participant 3'!$K$37</definedName>
    <definedName name="universitats3_2023">'Participant 3'!$L$37</definedName>
    <definedName name="universitats4_2016">'Participant 4'!$E$37</definedName>
    <definedName name="universitats4_2017">'Participant 4'!$F$37</definedName>
    <definedName name="universitats4_2018">'Participant 4'!$G$37</definedName>
    <definedName name="universitats4_2019">'Participant 4'!$H$37</definedName>
    <definedName name="universitats4_2020">'Participant 4'!$I$37</definedName>
    <definedName name="universitats4_2021">'Participant 4'!$J$37</definedName>
    <definedName name="universitats4_2022">'Participant 4'!$K$37</definedName>
    <definedName name="universitats4_2023">'Participant 4'!$L$37</definedName>
    <definedName name="universitats5_2016">'Participant 5'!$E$37</definedName>
    <definedName name="universitats5_2017">'Participant 5'!$F$37</definedName>
    <definedName name="universitats5_2018">'Participant 5'!$G$37</definedName>
    <definedName name="universitats5_2019">'Participant 5'!$H$37</definedName>
    <definedName name="universitats5_2020">'Participant 5'!$I$37</definedName>
    <definedName name="universitats5_2021">'Participant 5'!$J$37</definedName>
    <definedName name="universitats5_2022">'Participant 5'!$K$37</definedName>
    <definedName name="universitats5_2023">'Participant 5'!$L$37</definedName>
    <definedName name="universitats6_2016">'Participant 6'!$E$37</definedName>
    <definedName name="universitats6_2017">'Participant 6'!$F$37</definedName>
    <definedName name="universitats6_2018">'Participant 6'!$G$37</definedName>
    <definedName name="universitats6_2019">'Participant 6'!$H$37</definedName>
    <definedName name="universitats6_2020">'Participant 6'!$I$37</definedName>
    <definedName name="universitats6_2021">'Participant 6'!$J$37</definedName>
    <definedName name="universitats6_2022">'Participant 6'!$K$37</definedName>
    <definedName name="universitats6_2023">'Participant 6'!$L$37</definedName>
    <definedName name="universitats7_2016">'Participant 7'!$E$37</definedName>
    <definedName name="universitats7_2017">'Participant 7'!$F$37</definedName>
    <definedName name="universitats7_2018">'Participant 7'!$G$37</definedName>
    <definedName name="universitats7_2019">'Participant 7'!$H$37</definedName>
    <definedName name="universitats7_2020">'Participant 7'!$I$37</definedName>
    <definedName name="universitats7_2021">'Participant 7'!$J$37</definedName>
    <definedName name="universitats7_2022">'Participant 7'!$K$37</definedName>
    <definedName name="universitats7_2023">'Participant 7'!$L$37</definedName>
    <definedName name="universitats8_2016">'Participant 8'!$E$37</definedName>
    <definedName name="universitats8_2017">'Participant 8'!$F$37</definedName>
    <definedName name="universitats8_2018">'Participant 8'!$G$37</definedName>
    <definedName name="universitats8_2019">'Participant 8'!$H$37</definedName>
    <definedName name="universitats8_2020">'Participant 8'!$I$37</definedName>
    <definedName name="universitats8_2021">'Participant 8'!$J$37</definedName>
    <definedName name="universitats8_2022">'Participant 8'!$K$37</definedName>
    <definedName name="universitats8_2023">'Participant 8'!$L$37</definedName>
    <definedName name="universitats9_2016">'Participant 9 '!$E$37</definedName>
    <definedName name="universitats9_2017">'Participant 9 '!$F$37</definedName>
    <definedName name="universitats9_2018">'Participant 9 '!$G$37</definedName>
    <definedName name="universitats9_2019">'Participant 9 '!$H$37</definedName>
    <definedName name="universitats9_2020">'Participant 9 '!$I$37</definedName>
    <definedName name="universitats9_2021">'Participant 9 '!$J$37</definedName>
    <definedName name="universitats9_2022">'Participant 9 '!$K$37</definedName>
    <definedName name="universitats9_2023">'Participant 9 '!$L$37</definedName>
    <definedName name="YT" localSheetId="10">'Participant 2'!#REF!</definedName>
    <definedName name="YT" localSheetId="11">'Participant 2'!#REF!</definedName>
    <definedName name="YT" localSheetId="7">'Participant 2'!#REF!</definedName>
    <definedName name="YT" localSheetId="9">'Participant 2'!#REF!</definedName>
    <definedName name="YT">'Participant 2'!#REF!</definedName>
  </definedNames>
  <calcPr calcId="191029"/>
  <customWorkbookViews>
    <customWorkbookView name="Mireia Raurell - Vista personalizada" guid="{EDFE284D-223A-49E7-8396-C31999A2537B}" mergeInterval="0" personalView="1" windowWidth="1920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0" l="1"/>
  <c r="HM2" i="5"/>
  <c r="EK2" i="5"/>
  <c r="CW2" i="5"/>
  <c r="AC2" i="5"/>
  <c r="JA2" i="5"/>
  <c r="IS2" i="5"/>
  <c r="IK2" i="5"/>
  <c r="IC2" i="5"/>
  <c r="HV2" i="5"/>
  <c r="HU2" i="5"/>
  <c r="HE2" i="5"/>
  <c r="GW2" i="5"/>
  <c r="GO2" i="5"/>
  <c r="GG2" i="5"/>
  <c r="FY2" i="5"/>
  <c r="FQ2" i="5"/>
  <c r="FI2" i="5"/>
  <c r="FA2" i="5"/>
  <c r="ES2" i="5"/>
  <c r="EC2" i="5"/>
  <c r="DU2" i="5"/>
  <c r="DM2" i="5"/>
  <c r="DE2" i="5"/>
  <c r="CO2" i="5"/>
  <c r="CG2" i="5"/>
  <c r="BY2" i="5"/>
  <c r="BQ2" i="5"/>
  <c r="BI2" i="5"/>
  <c r="BA2" i="5"/>
  <c r="AS2" i="5"/>
  <c r="AK2" i="5"/>
  <c r="U2" i="5"/>
  <c r="M2" i="5"/>
  <c r="E2" i="5"/>
  <c r="JA13" i="5" l="1"/>
  <c r="JA12" i="5"/>
  <c r="JA11" i="5"/>
  <c r="JA10" i="5"/>
  <c r="JA9" i="5"/>
  <c r="JA8" i="5"/>
  <c r="JA7" i="5"/>
  <c r="JA6" i="5"/>
  <c r="JA5" i="5"/>
  <c r="JA4" i="5"/>
  <c r="JA3" i="5"/>
  <c r="IS13" i="5"/>
  <c r="IS12" i="5"/>
  <c r="IS11" i="5"/>
  <c r="IS10" i="5"/>
  <c r="IS9" i="5"/>
  <c r="IS8" i="5"/>
  <c r="IS7" i="5"/>
  <c r="IS6" i="5"/>
  <c r="IS5" i="5"/>
  <c r="IS4" i="5"/>
  <c r="IS3" i="5"/>
  <c r="IK13" i="5"/>
  <c r="IK12" i="5"/>
  <c r="IK11" i="5"/>
  <c r="IK10" i="5"/>
  <c r="IK9" i="5"/>
  <c r="IK8" i="5"/>
  <c r="IK7" i="5"/>
  <c r="IK6" i="5"/>
  <c r="IK5" i="5"/>
  <c r="IK4" i="5"/>
  <c r="IK3" i="5"/>
  <c r="IC13" i="5"/>
  <c r="IC12" i="5"/>
  <c r="IC11" i="5"/>
  <c r="IC10" i="5"/>
  <c r="IC9" i="5"/>
  <c r="IC8" i="5"/>
  <c r="IC7" i="5"/>
  <c r="IC6" i="5"/>
  <c r="IC5" i="5"/>
  <c r="IC4" i="5"/>
  <c r="IC3" i="5"/>
  <c r="HU13" i="5"/>
  <c r="HU12" i="5"/>
  <c r="HU11" i="5"/>
  <c r="HU10" i="5"/>
  <c r="HU9" i="5"/>
  <c r="HU8" i="5"/>
  <c r="HU7" i="5"/>
  <c r="HU6" i="5"/>
  <c r="HU5" i="5"/>
  <c r="HU4" i="5"/>
  <c r="HU3" i="5"/>
  <c r="HM13" i="5"/>
  <c r="HM12" i="5"/>
  <c r="HM11" i="5"/>
  <c r="HM10" i="5"/>
  <c r="HM9" i="5"/>
  <c r="HM8" i="5"/>
  <c r="HM7" i="5"/>
  <c r="HM6" i="5"/>
  <c r="HM5" i="5"/>
  <c r="HM4" i="5"/>
  <c r="HM3" i="5"/>
  <c r="HE13" i="5"/>
  <c r="HE12" i="5"/>
  <c r="HE11" i="5"/>
  <c r="HE10" i="5"/>
  <c r="HE9" i="5"/>
  <c r="HE8" i="5"/>
  <c r="HE7" i="5"/>
  <c r="HE6" i="5"/>
  <c r="HE5" i="5"/>
  <c r="HE4" i="5"/>
  <c r="HE3" i="5"/>
  <c r="GW13" i="5"/>
  <c r="GW12" i="5"/>
  <c r="GW11" i="5"/>
  <c r="GW10" i="5"/>
  <c r="GW9" i="5"/>
  <c r="GW8" i="5"/>
  <c r="GW7" i="5"/>
  <c r="GW6" i="5"/>
  <c r="GW5" i="5"/>
  <c r="GW4" i="5"/>
  <c r="GW3" i="5"/>
  <c r="GO13" i="5"/>
  <c r="GO12" i="5"/>
  <c r="GO11" i="5"/>
  <c r="GO10" i="5"/>
  <c r="GO9" i="5"/>
  <c r="GO8" i="5"/>
  <c r="GO7" i="5"/>
  <c r="GO6" i="5"/>
  <c r="GO5" i="5"/>
  <c r="GO4" i="5"/>
  <c r="GO3" i="5"/>
  <c r="GG13" i="5"/>
  <c r="GG12" i="5"/>
  <c r="GG11" i="5"/>
  <c r="GG10" i="5"/>
  <c r="GG9" i="5"/>
  <c r="GG8" i="5"/>
  <c r="GG7" i="5"/>
  <c r="GG6" i="5"/>
  <c r="GG5" i="5"/>
  <c r="GG4" i="5"/>
  <c r="GG3" i="5"/>
  <c r="FY13" i="5"/>
  <c r="FY12" i="5"/>
  <c r="FY11" i="5"/>
  <c r="FY10" i="5"/>
  <c r="FY9" i="5"/>
  <c r="FY8" i="5"/>
  <c r="FY7" i="5"/>
  <c r="FY6" i="5"/>
  <c r="FY5" i="5"/>
  <c r="FY4" i="5"/>
  <c r="FY3" i="5"/>
  <c r="FQ13" i="5"/>
  <c r="FQ12" i="5"/>
  <c r="FQ11" i="5"/>
  <c r="FQ10" i="5"/>
  <c r="FQ9" i="5"/>
  <c r="FQ8" i="5"/>
  <c r="FQ7" i="5"/>
  <c r="FQ6" i="5"/>
  <c r="FQ5" i="5"/>
  <c r="FQ4" i="5"/>
  <c r="FQ3" i="5"/>
  <c r="FI13" i="5"/>
  <c r="FI12" i="5"/>
  <c r="FI11" i="5"/>
  <c r="FI10" i="5"/>
  <c r="FI9" i="5"/>
  <c r="FI8" i="5"/>
  <c r="FI7" i="5"/>
  <c r="FI6" i="5"/>
  <c r="FI5" i="5"/>
  <c r="FI4" i="5"/>
  <c r="FI3" i="5"/>
  <c r="FA13" i="5"/>
  <c r="FA12" i="5"/>
  <c r="FA11" i="5"/>
  <c r="FA10" i="5"/>
  <c r="FA9" i="5"/>
  <c r="FA8" i="5"/>
  <c r="FA7" i="5"/>
  <c r="FA6" i="5"/>
  <c r="FA5" i="5"/>
  <c r="FA4" i="5"/>
  <c r="FA3" i="5" l="1"/>
  <c r="ES12" i="5"/>
  <c r="ES13" i="5"/>
  <c r="ES11" i="5"/>
  <c r="ES10" i="5"/>
  <c r="ES9" i="5"/>
  <c r="ES8" i="5"/>
  <c r="ES7" i="5"/>
  <c r="ES6" i="5"/>
  <c r="ES5" i="5"/>
  <c r="ES4" i="5"/>
  <c r="ES3" i="5"/>
  <c r="EK13" i="5"/>
  <c r="EK12" i="5"/>
  <c r="EK11" i="5"/>
  <c r="EK10" i="5"/>
  <c r="EK9" i="5"/>
  <c r="EK8" i="5"/>
  <c r="EK7" i="5"/>
  <c r="EK6" i="5"/>
  <c r="EK5" i="5"/>
  <c r="EK4" i="5"/>
  <c r="EK3" i="5"/>
  <c r="EC13" i="5"/>
  <c r="EC12" i="5"/>
  <c r="EC11" i="5"/>
  <c r="EC10" i="5"/>
  <c r="EC9" i="5"/>
  <c r="EC8" i="5"/>
  <c r="EC7" i="5"/>
  <c r="EC6" i="5"/>
  <c r="EC5" i="5"/>
  <c r="EC4" i="5"/>
  <c r="EC3" i="5"/>
  <c r="DU13" i="5"/>
  <c r="DU12" i="5"/>
  <c r="DU11" i="5"/>
  <c r="DU10" i="5"/>
  <c r="DU9" i="5"/>
  <c r="DU8" i="5"/>
  <c r="DU7" i="5"/>
  <c r="DU6" i="5"/>
  <c r="DU5" i="5"/>
  <c r="DU4" i="5"/>
  <c r="DU3" i="5"/>
  <c r="DM13" i="5"/>
  <c r="DM12" i="5"/>
  <c r="DM11" i="5"/>
  <c r="DM10" i="5"/>
  <c r="DM9" i="5"/>
  <c r="DM8" i="5"/>
  <c r="DM7" i="5"/>
  <c r="DM6" i="5"/>
  <c r="DM5" i="5"/>
  <c r="DM4" i="5"/>
  <c r="DM3" i="5"/>
  <c r="DE13" i="5"/>
  <c r="DE12" i="5"/>
  <c r="DE11" i="5"/>
  <c r="DE10" i="5"/>
  <c r="DE9" i="5"/>
  <c r="DE8" i="5"/>
  <c r="DE7" i="5"/>
  <c r="DE6" i="5"/>
  <c r="DE5" i="5"/>
  <c r="DE4" i="5"/>
  <c r="DE3" i="5"/>
  <c r="CW13" i="5" l="1"/>
  <c r="CW12" i="5"/>
  <c r="CW11" i="5"/>
  <c r="CW10" i="5"/>
  <c r="CW9" i="5"/>
  <c r="CW8" i="5"/>
  <c r="CW7" i="5"/>
  <c r="CW6" i="5"/>
  <c r="CW5" i="5"/>
  <c r="CW4" i="5"/>
  <c r="CW3" i="5"/>
  <c r="CO13" i="5"/>
  <c r="CO12" i="5"/>
  <c r="CO11" i="5"/>
  <c r="CO10" i="5"/>
  <c r="CO9" i="5"/>
  <c r="CO8" i="5"/>
  <c r="CO7" i="5"/>
  <c r="CO6" i="5"/>
  <c r="CO5" i="5"/>
  <c r="CO4" i="5"/>
  <c r="CO3" i="5"/>
  <c r="CG13" i="5" l="1"/>
  <c r="CG12" i="5"/>
  <c r="CG11" i="5"/>
  <c r="CG10" i="5"/>
  <c r="CG9" i="5"/>
  <c r="CG8" i="5"/>
  <c r="CG7" i="5"/>
  <c r="CG6" i="5"/>
  <c r="CG5" i="5"/>
  <c r="CG4" i="5"/>
  <c r="CG3" i="5"/>
  <c r="BY13" i="5"/>
  <c r="BY12" i="5"/>
  <c r="BY11" i="5"/>
  <c r="BY10" i="5"/>
  <c r="BY9" i="5"/>
  <c r="BY8" i="5"/>
  <c r="BY7" i="5"/>
  <c r="BY6" i="5"/>
  <c r="BY5" i="5"/>
  <c r="BY4" i="5"/>
  <c r="BY3" i="5"/>
  <c r="BQ13" i="5"/>
  <c r="BQ12" i="5"/>
  <c r="BQ11" i="5"/>
  <c r="BQ10" i="5"/>
  <c r="BQ9" i="5"/>
  <c r="BQ8" i="5"/>
  <c r="BQ7" i="5"/>
  <c r="BQ6" i="5"/>
  <c r="BQ5" i="5"/>
  <c r="BQ4" i="5"/>
  <c r="BQ3" i="5"/>
  <c r="BI13" i="5"/>
  <c r="BI12" i="5"/>
  <c r="BI11" i="5"/>
  <c r="BI10" i="5"/>
  <c r="BI9" i="5"/>
  <c r="BI8" i="5"/>
  <c r="BI7" i="5"/>
  <c r="BI6" i="5"/>
  <c r="BI5" i="5"/>
  <c r="BI4" i="5"/>
  <c r="BI3" i="5"/>
  <c r="BA8" i="5"/>
  <c r="BA13" i="5"/>
  <c r="BA12" i="5"/>
  <c r="BA11" i="5"/>
  <c r="BA10" i="5"/>
  <c r="BA9" i="5"/>
  <c r="BA7" i="5"/>
  <c r="BA6" i="5"/>
  <c r="BA5" i="5"/>
  <c r="BA4" i="5"/>
  <c r="BA3" i="5"/>
  <c r="AS13" i="5"/>
  <c r="AS12" i="5"/>
  <c r="AS11" i="5"/>
  <c r="AS10" i="5"/>
  <c r="AS9" i="5"/>
  <c r="AS8" i="5"/>
  <c r="AS7" i="5"/>
  <c r="AS6" i="5"/>
  <c r="AS5" i="5"/>
  <c r="AS4" i="5"/>
  <c r="AS3" i="5"/>
  <c r="AK13" i="5"/>
  <c r="AK12" i="5"/>
  <c r="AK11" i="5"/>
  <c r="AK10" i="5"/>
  <c r="AK9" i="5"/>
  <c r="AK8" i="5"/>
  <c r="AK7" i="5"/>
  <c r="AK6" i="5"/>
  <c r="AK5" i="5"/>
  <c r="AK4" i="5"/>
  <c r="AK3" i="5"/>
  <c r="AC13" i="5"/>
  <c r="AC12" i="5"/>
  <c r="AC11" i="5"/>
  <c r="AC10" i="5"/>
  <c r="AC9" i="5"/>
  <c r="AC8" i="5"/>
  <c r="AC7" i="5"/>
  <c r="AC6" i="5"/>
  <c r="AC5" i="5"/>
  <c r="AC4" i="5"/>
  <c r="AC3" i="5"/>
  <c r="U13" i="5"/>
  <c r="U12" i="5"/>
  <c r="U11" i="5"/>
  <c r="U10" i="5"/>
  <c r="U9" i="5"/>
  <c r="U8" i="5"/>
  <c r="U7" i="5"/>
  <c r="U6" i="5"/>
  <c r="U5" i="5"/>
  <c r="U4" i="5"/>
  <c r="U3" i="5"/>
  <c r="M3" i="5"/>
  <c r="M13" i="5"/>
  <c r="M12" i="5"/>
  <c r="M11" i="5"/>
  <c r="M10" i="5"/>
  <c r="M9" i="5"/>
  <c r="M8" i="5"/>
  <c r="M7" i="5"/>
  <c r="M6" i="5"/>
  <c r="M5" i="5"/>
  <c r="M4" i="5"/>
  <c r="E13" i="5"/>
  <c r="E12" i="5"/>
  <c r="E11" i="5"/>
  <c r="E10" i="5"/>
  <c r="E9" i="5"/>
  <c r="E8" i="5"/>
  <c r="E7" i="5"/>
  <c r="E6" i="5"/>
  <c r="E5" i="5"/>
  <c r="E4" i="5"/>
  <c r="E3" i="5"/>
  <c r="C6" i="21"/>
  <c r="D2" i="5" l="1"/>
  <c r="F2" i="5"/>
  <c r="F11" i="5" l="1"/>
  <c r="G11" i="5"/>
  <c r="F10" i="5" l="1"/>
  <c r="G5" i="5" l="1"/>
  <c r="JH13" i="5" l="1"/>
  <c r="JH12" i="5"/>
  <c r="JH11" i="5"/>
  <c r="JH10" i="5"/>
  <c r="JG13" i="5"/>
  <c r="JG12" i="5"/>
  <c r="JG11" i="5"/>
  <c r="JG10" i="5"/>
  <c r="JF13" i="5"/>
  <c r="JF12" i="5"/>
  <c r="JF11" i="5"/>
  <c r="JF10" i="5"/>
  <c r="JE13" i="5"/>
  <c r="JE12" i="5"/>
  <c r="JE11" i="5"/>
  <c r="JE10" i="5"/>
  <c r="JD13" i="5"/>
  <c r="JD12" i="5"/>
  <c r="JD11" i="5"/>
  <c r="JD10" i="5"/>
  <c r="JC13" i="5"/>
  <c r="JC12" i="5"/>
  <c r="JC11" i="5"/>
  <c r="JC10" i="5"/>
  <c r="JB13" i="5"/>
  <c r="JB12" i="5"/>
  <c r="JB11" i="5"/>
  <c r="JB10" i="5"/>
  <c r="IZ13" i="5"/>
  <c r="IZ12" i="5"/>
  <c r="IZ11" i="5"/>
  <c r="IZ10" i="5"/>
  <c r="IY13" i="5"/>
  <c r="IY12" i="5"/>
  <c r="IY11" i="5"/>
  <c r="IY10" i="5"/>
  <c r="IX13" i="5"/>
  <c r="IX12" i="5"/>
  <c r="IX11" i="5"/>
  <c r="IX10" i="5"/>
  <c r="IW13" i="5"/>
  <c r="IW12" i="5"/>
  <c r="IW11" i="5"/>
  <c r="IW10" i="5"/>
  <c r="IV13" i="5"/>
  <c r="IV12" i="5"/>
  <c r="IV11" i="5"/>
  <c r="IV10" i="5"/>
  <c r="IU13" i="5"/>
  <c r="IU12" i="5"/>
  <c r="IU11" i="5"/>
  <c r="IU10" i="5"/>
  <c r="IT13" i="5"/>
  <c r="IT12" i="5"/>
  <c r="IT11" i="5"/>
  <c r="IT10" i="5"/>
  <c r="IR13" i="5"/>
  <c r="IR12" i="5"/>
  <c r="IR11" i="5"/>
  <c r="IR10" i="5"/>
  <c r="IQ13" i="5"/>
  <c r="IQ12" i="5"/>
  <c r="IQ11" i="5"/>
  <c r="IQ10" i="5"/>
  <c r="IP13" i="5"/>
  <c r="IP12" i="5"/>
  <c r="IP11" i="5"/>
  <c r="IP10" i="5"/>
  <c r="IO13" i="5"/>
  <c r="IO12" i="5"/>
  <c r="IO11" i="5"/>
  <c r="IO10" i="5"/>
  <c r="IN13" i="5"/>
  <c r="IN12" i="5"/>
  <c r="IN11" i="5"/>
  <c r="IN10" i="5"/>
  <c r="IM13" i="5"/>
  <c r="IM12" i="5"/>
  <c r="IM11" i="5"/>
  <c r="IM10" i="5"/>
  <c r="IL13" i="5"/>
  <c r="IL12" i="5"/>
  <c r="IL11" i="5"/>
  <c r="IL10" i="5"/>
  <c r="IJ13" i="5"/>
  <c r="IJ12" i="5"/>
  <c r="IJ11" i="5"/>
  <c r="IJ10" i="5"/>
  <c r="II13" i="5"/>
  <c r="II12" i="5"/>
  <c r="II11" i="5"/>
  <c r="II10" i="5"/>
  <c r="IH13" i="5"/>
  <c r="IH12" i="5"/>
  <c r="IH11" i="5"/>
  <c r="IH10" i="5"/>
  <c r="IG13" i="5"/>
  <c r="IG12" i="5"/>
  <c r="IG11" i="5"/>
  <c r="IG10" i="5"/>
  <c r="IF13" i="5"/>
  <c r="IF12" i="5"/>
  <c r="IF11" i="5"/>
  <c r="IF10" i="5"/>
  <c r="IE13" i="5"/>
  <c r="IE12" i="5"/>
  <c r="IE11" i="5"/>
  <c r="IE10" i="5"/>
  <c r="ID13" i="5"/>
  <c r="ID12" i="5"/>
  <c r="ID11" i="5"/>
  <c r="ID10" i="5"/>
  <c r="IB13" i="5"/>
  <c r="IB12" i="5"/>
  <c r="IB11" i="5"/>
  <c r="IB10" i="5"/>
  <c r="IA13" i="5"/>
  <c r="IA12" i="5"/>
  <c r="IA11" i="5"/>
  <c r="IA10" i="5"/>
  <c r="HZ13" i="5"/>
  <c r="HZ12" i="5"/>
  <c r="HZ11" i="5"/>
  <c r="HZ10" i="5"/>
  <c r="HY13" i="5"/>
  <c r="HY12" i="5"/>
  <c r="HY11" i="5"/>
  <c r="HY10" i="5"/>
  <c r="HX13" i="5"/>
  <c r="HX12" i="5"/>
  <c r="HX11" i="5"/>
  <c r="HX10" i="5"/>
  <c r="HW13" i="5"/>
  <c r="HW12" i="5"/>
  <c r="HW11" i="5"/>
  <c r="HW10" i="5"/>
  <c r="HV13" i="5"/>
  <c r="HV12" i="5"/>
  <c r="HV11" i="5"/>
  <c r="HV10" i="5"/>
  <c r="HT13" i="5"/>
  <c r="HT12" i="5"/>
  <c r="HT11" i="5"/>
  <c r="HT10" i="5"/>
  <c r="HS13" i="5"/>
  <c r="HS12" i="5"/>
  <c r="HS11" i="5"/>
  <c r="HS10" i="5"/>
  <c r="HR13" i="5"/>
  <c r="HR12" i="5"/>
  <c r="HR11" i="5"/>
  <c r="HR10" i="5"/>
  <c r="HQ13" i="5"/>
  <c r="HQ12" i="5"/>
  <c r="HQ11" i="5"/>
  <c r="HQ10" i="5"/>
  <c r="HP13" i="5"/>
  <c r="HP12" i="5"/>
  <c r="HP11" i="5"/>
  <c r="HP10" i="5"/>
  <c r="HO13" i="5"/>
  <c r="HO12" i="5"/>
  <c r="HO11" i="5"/>
  <c r="HO10" i="5"/>
  <c r="HN13" i="5"/>
  <c r="HN12" i="5"/>
  <c r="HN11" i="5"/>
  <c r="HN10" i="5"/>
  <c r="HL13" i="5"/>
  <c r="HL12" i="5"/>
  <c r="HL11" i="5"/>
  <c r="HL10" i="5"/>
  <c r="HK13" i="5"/>
  <c r="HK12" i="5"/>
  <c r="HK11" i="5"/>
  <c r="HK10" i="5"/>
  <c r="HJ13" i="5"/>
  <c r="HJ12" i="5"/>
  <c r="HJ11" i="5"/>
  <c r="HJ10" i="5"/>
  <c r="HI13" i="5"/>
  <c r="HI12" i="5"/>
  <c r="HI11" i="5"/>
  <c r="HI10" i="5"/>
  <c r="HH13" i="5"/>
  <c r="HH12" i="5"/>
  <c r="HH11" i="5"/>
  <c r="HH10" i="5"/>
  <c r="HG13" i="5"/>
  <c r="HG12" i="5"/>
  <c r="HG11" i="5"/>
  <c r="HG10" i="5"/>
  <c r="HF13" i="5"/>
  <c r="HF12" i="5"/>
  <c r="HF11" i="5"/>
  <c r="HF10" i="5"/>
  <c r="HD13" i="5"/>
  <c r="HD12" i="5"/>
  <c r="HD11" i="5"/>
  <c r="HD10" i="5"/>
  <c r="HC13" i="5"/>
  <c r="HC12" i="5"/>
  <c r="HC11" i="5"/>
  <c r="HC10" i="5"/>
  <c r="HB13" i="5"/>
  <c r="HB12" i="5"/>
  <c r="HB11" i="5"/>
  <c r="HB10" i="5"/>
  <c r="HA13" i="5"/>
  <c r="HA12" i="5"/>
  <c r="HA11" i="5"/>
  <c r="HA10" i="5"/>
  <c r="GZ13" i="5"/>
  <c r="GZ12" i="5"/>
  <c r="GZ11" i="5"/>
  <c r="GZ10" i="5"/>
  <c r="GY13" i="5"/>
  <c r="GY12" i="5"/>
  <c r="GY11" i="5"/>
  <c r="GY10" i="5"/>
  <c r="GX13" i="5"/>
  <c r="GX12" i="5"/>
  <c r="GX11" i="5"/>
  <c r="GX10" i="5"/>
  <c r="GV13" i="5"/>
  <c r="GV12" i="5"/>
  <c r="GV11" i="5"/>
  <c r="GV10" i="5"/>
  <c r="GU13" i="5"/>
  <c r="GU12" i="5"/>
  <c r="GU11" i="5"/>
  <c r="GU10" i="5"/>
  <c r="GT13" i="5"/>
  <c r="GT12" i="5"/>
  <c r="GT11" i="5"/>
  <c r="GT10" i="5"/>
  <c r="GS13" i="5"/>
  <c r="GS12" i="5"/>
  <c r="GS11" i="5"/>
  <c r="GS10" i="5"/>
  <c r="GR13" i="5"/>
  <c r="GR12" i="5"/>
  <c r="GR11" i="5"/>
  <c r="GR10" i="5"/>
  <c r="GQ13" i="5"/>
  <c r="GQ12" i="5"/>
  <c r="GQ11" i="5"/>
  <c r="GQ10" i="5"/>
  <c r="GP13" i="5"/>
  <c r="GP12" i="5"/>
  <c r="GP11" i="5"/>
  <c r="GP10" i="5"/>
  <c r="GN13" i="5" l="1"/>
  <c r="GN12" i="5"/>
  <c r="GN11" i="5"/>
  <c r="GN10" i="5"/>
  <c r="GM13" i="5"/>
  <c r="GM12" i="5"/>
  <c r="GM11" i="5"/>
  <c r="GM10" i="5"/>
  <c r="GL13" i="5"/>
  <c r="GL12" i="5"/>
  <c r="GL11" i="5"/>
  <c r="GL10" i="5"/>
  <c r="GK13" i="5"/>
  <c r="GK12" i="5"/>
  <c r="GK11" i="5"/>
  <c r="GK10" i="5"/>
  <c r="GJ13" i="5"/>
  <c r="GJ12" i="5"/>
  <c r="GJ11" i="5"/>
  <c r="GJ10" i="5"/>
  <c r="GI13" i="5"/>
  <c r="GI12" i="5"/>
  <c r="GI11" i="5"/>
  <c r="GI10" i="5"/>
  <c r="GH13" i="5"/>
  <c r="GH12" i="5"/>
  <c r="GH11" i="5"/>
  <c r="GH10" i="5"/>
  <c r="GF13" i="5"/>
  <c r="GF12" i="5"/>
  <c r="GF11" i="5"/>
  <c r="GF10" i="5"/>
  <c r="GE13" i="5"/>
  <c r="GE12" i="5"/>
  <c r="GE11" i="5"/>
  <c r="GE10" i="5"/>
  <c r="GD13" i="5"/>
  <c r="GD12" i="5"/>
  <c r="GD11" i="5"/>
  <c r="GD10" i="5"/>
  <c r="GC13" i="5" l="1"/>
  <c r="GC12" i="5"/>
  <c r="GC11" i="5"/>
  <c r="GC10" i="5"/>
  <c r="GB13" i="5"/>
  <c r="GB12" i="5"/>
  <c r="GB11" i="5"/>
  <c r="GB10" i="5"/>
  <c r="GA13" i="5"/>
  <c r="GA12" i="5"/>
  <c r="GA11" i="5"/>
  <c r="GA10" i="5"/>
  <c r="FZ13" i="5"/>
  <c r="FZ12" i="5"/>
  <c r="FZ11" i="5"/>
  <c r="FZ10" i="5"/>
  <c r="FX13" i="5"/>
  <c r="FX12" i="5"/>
  <c r="FX11" i="5"/>
  <c r="FX10" i="5"/>
  <c r="FW13" i="5"/>
  <c r="FW12" i="5"/>
  <c r="FW11" i="5"/>
  <c r="FW10" i="5"/>
  <c r="FV13" i="5"/>
  <c r="FV12" i="5"/>
  <c r="FV11" i="5"/>
  <c r="FV10" i="5"/>
  <c r="FU13" i="5"/>
  <c r="FU12" i="5"/>
  <c r="FU11" i="5"/>
  <c r="FU10" i="5"/>
  <c r="FT13" i="5"/>
  <c r="FT12" i="5"/>
  <c r="FT11" i="5"/>
  <c r="FT10" i="5"/>
  <c r="FS13" i="5"/>
  <c r="FS12" i="5"/>
  <c r="FS11" i="5"/>
  <c r="FS10" i="5"/>
  <c r="FR13" i="5"/>
  <c r="FR12" i="5"/>
  <c r="FR11" i="5"/>
  <c r="FR10" i="5"/>
  <c r="FP13" i="5"/>
  <c r="FP12" i="5"/>
  <c r="FP11" i="5"/>
  <c r="FP10" i="5"/>
  <c r="FO13" i="5"/>
  <c r="FO12" i="5"/>
  <c r="FO11" i="5"/>
  <c r="FO10" i="5"/>
  <c r="FN13" i="5"/>
  <c r="FN12" i="5"/>
  <c r="FN11" i="5"/>
  <c r="FN10" i="5"/>
  <c r="FM13" i="5"/>
  <c r="FM12" i="5"/>
  <c r="FM11" i="5"/>
  <c r="FM10" i="5"/>
  <c r="FL13" i="5"/>
  <c r="FL12" i="5"/>
  <c r="FL11" i="5"/>
  <c r="FL10" i="5"/>
  <c r="FK13" i="5"/>
  <c r="FK12" i="5"/>
  <c r="FK11" i="5"/>
  <c r="FK10" i="5"/>
  <c r="FJ13" i="5"/>
  <c r="FJ12" i="5"/>
  <c r="FJ11" i="5"/>
  <c r="FJ10" i="5"/>
  <c r="FH13" i="5"/>
  <c r="FH12" i="5"/>
  <c r="FH11" i="5"/>
  <c r="FH10" i="5"/>
  <c r="FG13" i="5"/>
  <c r="FG12" i="5"/>
  <c r="FG11" i="5"/>
  <c r="FG10" i="5"/>
  <c r="FF13" i="5"/>
  <c r="FF12" i="5"/>
  <c r="FF11" i="5"/>
  <c r="FF10" i="5"/>
  <c r="FE13" i="5"/>
  <c r="FE12" i="5"/>
  <c r="FE11" i="5"/>
  <c r="FE10" i="5"/>
  <c r="FD13" i="5"/>
  <c r="FD12" i="5"/>
  <c r="FD11" i="5"/>
  <c r="FD10" i="5"/>
  <c r="FC13" i="5"/>
  <c r="FC12" i="5"/>
  <c r="FC11" i="5"/>
  <c r="FC10" i="5"/>
  <c r="FB13" i="5"/>
  <c r="FB12" i="5"/>
  <c r="FB11" i="5"/>
  <c r="FB10" i="5"/>
  <c r="EZ13" i="5"/>
  <c r="EZ12" i="5"/>
  <c r="EZ11" i="5"/>
  <c r="EZ10" i="5"/>
  <c r="EY13" i="5"/>
  <c r="EY12" i="5"/>
  <c r="EY11" i="5"/>
  <c r="EY10" i="5"/>
  <c r="EX13" i="5"/>
  <c r="EX12" i="5"/>
  <c r="EX11" i="5"/>
  <c r="EX10" i="5"/>
  <c r="EW13" i="5"/>
  <c r="EW12" i="5"/>
  <c r="EW11" i="5"/>
  <c r="EW10" i="5"/>
  <c r="EV13" i="5"/>
  <c r="EV12" i="5"/>
  <c r="EV11" i="5"/>
  <c r="EV10" i="5"/>
  <c r="EU13" i="5"/>
  <c r="EU12" i="5"/>
  <c r="EU11" i="5"/>
  <c r="EU10" i="5"/>
  <c r="ET13" i="5"/>
  <c r="ET12" i="5"/>
  <c r="ET11" i="5"/>
  <c r="ET10" i="5"/>
  <c r="ER13" i="5"/>
  <c r="ER12" i="5"/>
  <c r="ER11" i="5"/>
  <c r="ER10" i="5"/>
  <c r="EQ13" i="5"/>
  <c r="EQ12" i="5"/>
  <c r="EQ11" i="5"/>
  <c r="EQ10" i="5"/>
  <c r="EP13" i="5"/>
  <c r="EP12" i="5"/>
  <c r="EP11" i="5"/>
  <c r="EP10" i="5"/>
  <c r="EO13" i="5"/>
  <c r="EO12" i="5"/>
  <c r="EO11" i="5"/>
  <c r="EO10" i="5"/>
  <c r="EN13" i="5"/>
  <c r="EN12" i="5"/>
  <c r="EN11" i="5"/>
  <c r="EN10" i="5"/>
  <c r="EM13" i="5"/>
  <c r="EM12" i="5"/>
  <c r="EM11" i="5"/>
  <c r="EM10" i="5"/>
  <c r="EL13" i="5"/>
  <c r="EL12" i="5"/>
  <c r="EL11" i="5"/>
  <c r="EL10" i="5"/>
  <c r="EJ13" i="5"/>
  <c r="EJ12" i="5"/>
  <c r="EJ11" i="5"/>
  <c r="EJ10" i="5"/>
  <c r="EI13" i="5"/>
  <c r="EI12" i="5"/>
  <c r="EI11" i="5"/>
  <c r="EI10" i="5"/>
  <c r="EH13" i="5"/>
  <c r="EH12" i="5"/>
  <c r="EH11" i="5"/>
  <c r="EH10" i="5"/>
  <c r="EG13" i="5"/>
  <c r="EG12" i="5"/>
  <c r="EG11" i="5"/>
  <c r="EG10" i="5"/>
  <c r="EF13" i="5"/>
  <c r="EF12" i="5"/>
  <c r="EF11" i="5"/>
  <c r="EF10" i="5"/>
  <c r="EE13" i="5"/>
  <c r="EE12" i="5"/>
  <c r="EE11" i="5"/>
  <c r="EE10" i="5"/>
  <c r="ED13" i="5"/>
  <c r="ED12" i="5"/>
  <c r="ED11" i="5"/>
  <c r="ED10" i="5"/>
  <c r="EB13" i="5"/>
  <c r="EB12" i="5"/>
  <c r="EB11" i="5"/>
  <c r="EB10" i="5"/>
  <c r="EA13" i="5"/>
  <c r="EA12" i="5"/>
  <c r="EA11" i="5"/>
  <c r="EA10" i="5"/>
  <c r="DZ13" i="5"/>
  <c r="DZ12" i="5"/>
  <c r="DZ11" i="5"/>
  <c r="DZ10" i="5"/>
  <c r="DY13" i="5"/>
  <c r="DY12" i="5"/>
  <c r="DY11" i="5"/>
  <c r="DY10" i="5"/>
  <c r="DX13" i="5"/>
  <c r="DX12" i="5"/>
  <c r="DX11" i="5"/>
  <c r="DX10" i="5"/>
  <c r="DW13" i="5"/>
  <c r="DW12" i="5"/>
  <c r="DW11" i="5"/>
  <c r="DW10" i="5"/>
  <c r="DV13" i="5"/>
  <c r="DV12" i="5"/>
  <c r="DV11" i="5"/>
  <c r="DV10" i="5"/>
  <c r="DT13" i="5"/>
  <c r="DT12" i="5"/>
  <c r="DT11" i="5"/>
  <c r="DT10" i="5"/>
  <c r="DS13" i="5"/>
  <c r="DS12" i="5"/>
  <c r="DS11" i="5"/>
  <c r="DS10" i="5"/>
  <c r="DR13" i="5" l="1"/>
  <c r="DR12" i="5"/>
  <c r="DR11" i="5"/>
  <c r="DR10" i="5"/>
  <c r="DQ13" i="5"/>
  <c r="DQ12" i="5"/>
  <c r="DQ11" i="5"/>
  <c r="DQ10" i="5"/>
  <c r="DP13" i="5"/>
  <c r="DP12" i="5"/>
  <c r="DP11" i="5"/>
  <c r="DP10" i="5"/>
  <c r="DO13" i="5"/>
  <c r="DO12" i="5"/>
  <c r="DO11" i="5"/>
  <c r="DO10" i="5"/>
  <c r="DN13" i="5"/>
  <c r="DN12" i="5"/>
  <c r="DN11" i="5"/>
  <c r="DN10" i="5"/>
  <c r="DL13" i="5"/>
  <c r="DL12" i="5"/>
  <c r="DL11" i="5"/>
  <c r="DL10" i="5"/>
  <c r="DK13" i="5"/>
  <c r="DK12" i="5"/>
  <c r="DK11" i="5"/>
  <c r="DK10" i="5"/>
  <c r="DJ13" i="5"/>
  <c r="DJ12" i="5"/>
  <c r="DJ11" i="5"/>
  <c r="DJ10" i="5"/>
  <c r="DI13" i="5"/>
  <c r="DI12" i="5"/>
  <c r="DI11" i="5"/>
  <c r="DI10" i="5"/>
  <c r="DH13" i="5"/>
  <c r="DH12" i="5"/>
  <c r="DH11" i="5"/>
  <c r="DH10" i="5"/>
  <c r="DG13" i="5"/>
  <c r="DG12" i="5"/>
  <c r="DG11" i="5"/>
  <c r="DG10" i="5"/>
  <c r="DF13" i="5"/>
  <c r="DF12" i="5" l="1"/>
  <c r="DF11" i="5"/>
  <c r="DF10" i="5"/>
  <c r="DD13" i="5"/>
  <c r="DD12" i="5"/>
  <c r="DD11" i="5"/>
  <c r="DD10" i="5"/>
  <c r="DC13" i="5"/>
  <c r="DC12" i="5"/>
  <c r="DC11" i="5"/>
  <c r="DC10" i="5"/>
  <c r="DB13" i="5"/>
  <c r="DB12" i="5"/>
  <c r="DB11" i="5"/>
  <c r="DB10" i="5"/>
  <c r="DA13" i="5"/>
  <c r="DA12" i="5"/>
  <c r="DA11" i="5"/>
  <c r="DA10" i="5"/>
  <c r="CZ13" i="5"/>
  <c r="CZ12" i="5"/>
  <c r="CZ11" i="5"/>
  <c r="CZ10" i="5"/>
  <c r="CY13" i="5"/>
  <c r="CY12" i="5"/>
  <c r="CY11" i="5"/>
  <c r="CY10" i="5"/>
  <c r="CX13" i="5"/>
  <c r="CX12" i="5"/>
  <c r="CX11" i="5"/>
  <c r="CX10" i="5"/>
  <c r="CV13" i="5"/>
  <c r="CV12" i="5"/>
  <c r="CV11" i="5"/>
  <c r="CV10" i="5"/>
  <c r="CU13" i="5"/>
  <c r="CU12" i="5"/>
  <c r="CU11" i="5"/>
  <c r="CU10" i="5"/>
  <c r="CT13" i="5"/>
  <c r="CT12" i="5"/>
  <c r="CT11" i="5"/>
  <c r="CT10" i="5"/>
  <c r="CS13" i="5"/>
  <c r="CS12" i="5"/>
  <c r="CS11" i="5"/>
  <c r="CS10" i="5"/>
  <c r="CR13" i="5"/>
  <c r="CR12" i="5"/>
  <c r="CR11" i="5"/>
  <c r="CR10" i="5"/>
  <c r="CQ13" i="5"/>
  <c r="CQ12" i="5"/>
  <c r="CQ11" i="5"/>
  <c r="CQ10" i="5"/>
  <c r="CP13" i="5"/>
  <c r="CP12" i="5"/>
  <c r="CP11" i="5"/>
  <c r="CP10" i="5"/>
  <c r="CN13" i="5"/>
  <c r="CN12" i="5"/>
  <c r="CN11" i="5"/>
  <c r="CN10" i="5"/>
  <c r="CM13" i="5"/>
  <c r="CM12" i="5"/>
  <c r="CM11" i="5"/>
  <c r="CM10" i="5"/>
  <c r="CL13" i="5"/>
  <c r="CL12" i="5"/>
  <c r="CL11" i="5"/>
  <c r="CL10" i="5"/>
  <c r="CK13" i="5"/>
  <c r="CK12" i="5"/>
  <c r="CK11" i="5"/>
  <c r="CK10" i="5"/>
  <c r="CJ13" i="5"/>
  <c r="CJ12" i="5"/>
  <c r="CJ11" i="5"/>
  <c r="CJ10" i="5"/>
  <c r="CI13" i="5"/>
  <c r="CI12" i="5"/>
  <c r="CI11" i="5"/>
  <c r="CI10" i="5"/>
  <c r="CH13" i="5"/>
  <c r="CH12" i="5"/>
  <c r="CH11" i="5"/>
  <c r="CH10" i="5"/>
  <c r="CF13" i="5"/>
  <c r="CF12" i="5"/>
  <c r="CF11" i="5"/>
  <c r="CF10" i="5"/>
  <c r="CE13" i="5"/>
  <c r="CE12" i="5"/>
  <c r="CE11" i="5"/>
  <c r="CE10" i="5"/>
  <c r="CD13" i="5"/>
  <c r="CD12" i="5"/>
  <c r="CD11" i="5"/>
  <c r="CD10" i="5"/>
  <c r="CC13" i="5"/>
  <c r="CC12" i="5"/>
  <c r="CC11" i="5"/>
  <c r="CC10" i="5"/>
  <c r="CB13" i="5"/>
  <c r="CB12" i="5"/>
  <c r="CB11" i="5"/>
  <c r="CB10" i="5"/>
  <c r="CA13" i="5"/>
  <c r="CA12" i="5"/>
  <c r="CA11" i="5"/>
  <c r="CA10" i="5"/>
  <c r="BZ13" i="5"/>
  <c r="BZ12" i="5"/>
  <c r="BZ11" i="5"/>
  <c r="BZ10" i="5"/>
  <c r="BX13" i="5"/>
  <c r="BX12" i="5"/>
  <c r="BX11" i="5"/>
  <c r="BX10" i="5"/>
  <c r="BW13" i="5"/>
  <c r="BW12" i="5"/>
  <c r="BW11" i="5"/>
  <c r="BW10" i="5"/>
  <c r="BV13" i="5"/>
  <c r="BV12" i="5"/>
  <c r="BV11" i="5"/>
  <c r="BV10" i="5"/>
  <c r="BU13" i="5"/>
  <c r="BU12" i="5"/>
  <c r="BU11" i="5"/>
  <c r="BU10" i="5"/>
  <c r="BT13" i="5"/>
  <c r="BT12" i="5"/>
  <c r="BT11" i="5"/>
  <c r="BT10" i="5"/>
  <c r="BS13" i="5"/>
  <c r="BS12" i="5"/>
  <c r="BS11" i="5"/>
  <c r="BS10" i="5"/>
  <c r="BR13" i="5"/>
  <c r="BR12" i="5"/>
  <c r="BR11" i="5"/>
  <c r="BR10" i="5"/>
  <c r="BP13" i="5"/>
  <c r="BP12" i="5"/>
  <c r="BP11" i="5"/>
  <c r="BP10" i="5"/>
  <c r="BO13" i="5"/>
  <c r="BO12" i="5"/>
  <c r="BO11" i="5"/>
  <c r="BO10" i="5"/>
  <c r="BN13" i="5"/>
  <c r="BN12" i="5"/>
  <c r="BN11" i="5"/>
  <c r="BN10" i="5"/>
  <c r="BM13" i="5"/>
  <c r="BM12" i="5"/>
  <c r="BM11" i="5"/>
  <c r="BM10" i="5"/>
  <c r="BL13" i="5"/>
  <c r="BL12" i="5"/>
  <c r="BL11" i="5"/>
  <c r="BL10" i="5"/>
  <c r="BK13" i="5"/>
  <c r="BK12" i="5"/>
  <c r="BK11" i="5"/>
  <c r="BK10" i="5"/>
  <c r="BJ13" i="5"/>
  <c r="BJ12" i="5"/>
  <c r="BJ11" i="5"/>
  <c r="BJ10" i="5"/>
  <c r="BH13" i="5"/>
  <c r="BH12" i="5"/>
  <c r="BH11" i="5"/>
  <c r="BH10" i="5"/>
  <c r="BG13" i="5"/>
  <c r="BG12" i="5"/>
  <c r="BG11" i="5"/>
  <c r="BG10" i="5"/>
  <c r="BF13" i="5"/>
  <c r="BF12" i="5"/>
  <c r="BF11" i="5"/>
  <c r="BF10" i="5"/>
  <c r="BE13" i="5"/>
  <c r="BE12" i="5"/>
  <c r="BE11" i="5"/>
  <c r="BE10" i="5"/>
  <c r="BD13" i="5"/>
  <c r="BD12" i="5"/>
  <c r="BD11" i="5"/>
  <c r="BD10" i="5"/>
  <c r="BC13" i="5"/>
  <c r="BC12" i="5"/>
  <c r="BC11" i="5"/>
  <c r="BC10" i="5"/>
  <c r="BB13" i="5"/>
  <c r="BB12" i="5"/>
  <c r="BB11" i="5"/>
  <c r="BB10" i="5"/>
  <c r="AZ13" i="5"/>
  <c r="AZ12" i="5"/>
  <c r="AZ11" i="5"/>
  <c r="AZ10" i="5"/>
  <c r="AY13" i="5"/>
  <c r="AY12" i="5"/>
  <c r="AY11" i="5"/>
  <c r="AY10" i="5"/>
  <c r="AX13" i="5"/>
  <c r="AX12" i="5"/>
  <c r="AX11" i="5"/>
  <c r="AX10" i="5"/>
  <c r="AW13" i="5"/>
  <c r="AW12" i="5"/>
  <c r="AW11" i="5"/>
  <c r="AW10" i="5"/>
  <c r="AV13" i="5" l="1"/>
  <c r="AV12" i="5"/>
  <c r="AV11" i="5"/>
  <c r="AV10" i="5"/>
  <c r="AU13" i="5"/>
  <c r="AU12" i="5"/>
  <c r="AU11" i="5"/>
  <c r="AU10" i="5"/>
  <c r="AT13" i="5"/>
  <c r="AT12" i="5"/>
  <c r="AT11" i="5"/>
  <c r="AT10" i="5"/>
  <c r="AR13" i="5"/>
  <c r="AR12" i="5"/>
  <c r="AR11" i="5"/>
  <c r="AR10" i="5"/>
  <c r="AQ13" i="5"/>
  <c r="AQ12" i="5"/>
  <c r="AQ11" i="5"/>
  <c r="AQ10" i="5"/>
  <c r="AP13" i="5"/>
  <c r="AP12" i="5"/>
  <c r="AP11" i="5"/>
  <c r="AP10" i="5"/>
  <c r="AO13" i="5"/>
  <c r="AO12" i="5"/>
  <c r="AO11" i="5"/>
  <c r="AO10" i="5"/>
  <c r="AN13" i="5"/>
  <c r="AN12" i="5"/>
  <c r="AN11" i="5"/>
  <c r="AN10" i="5"/>
  <c r="AM13" i="5"/>
  <c r="AM12" i="5"/>
  <c r="AM11" i="5"/>
  <c r="AM10" i="5"/>
  <c r="AL13" i="5"/>
  <c r="AL12" i="5"/>
  <c r="AL11" i="5"/>
  <c r="AL10" i="5"/>
  <c r="AJ13" i="5"/>
  <c r="AJ12" i="5"/>
  <c r="AJ11" i="5"/>
  <c r="AJ10" i="5"/>
  <c r="AI13" i="5"/>
  <c r="AI12" i="5"/>
  <c r="AI11" i="5"/>
  <c r="AI10" i="5"/>
  <c r="AH13" i="5"/>
  <c r="AH12" i="5"/>
  <c r="AH11" i="5"/>
  <c r="AH10" i="5"/>
  <c r="AG13" i="5"/>
  <c r="AG12" i="5"/>
  <c r="AG11" i="5"/>
  <c r="AG10" i="5"/>
  <c r="AF13" i="5"/>
  <c r="AF12" i="5"/>
  <c r="AF11" i="5"/>
  <c r="AF10" i="5"/>
  <c r="AE13" i="5"/>
  <c r="AE12" i="5"/>
  <c r="AE11" i="5"/>
  <c r="AE10" i="5"/>
  <c r="AD13" i="5"/>
  <c r="AD12" i="5"/>
  <c r="AD11" i="5"/>
  <c r="AD10" i="5"/>
  <c r="AB13" i="5"/>
  <c r="AB12" i="5"/>
  <c r="AB11" i="5"/>
  <c r="AB10" i="5"/>
  <c r="AA13" i="5"/>
  <c r="AA12" i="5"/>
  <c r="AA11" i="5"/>
  <c r="AA10" i="5"/>
  <c r="Z13" i="5"/>
  <c r="Z12" i="5"/>
  <c r="Z11" i="5"/>
  <c r="Z10" i="5"/>
  <c r="Y13" i="5"/>
  <c r="Y12" i="5"/>
  <c r="Y11" i="5"/>
  <c r="Y10" i="5"/>
  <c r="X13" i="5"/>
  <c r="X12" i="5"/>
  <c r="X11" i="5"/>
  <c r="X10" i="5"/>
  <c r="W13" i="5"/>
  <c r="W12" i="5"/>
  <c r="W11" i="5"/>
  <c r="W10" i="5"/>
  <c r="V13" i="5"/>
  <c r="V12" i="5"/>
  <c r="V11" i="5"/>
  <c r="V10" i="5"/>
  <c r="T13" i="5"/>
  <c r="T12" i="5"/>
  <c r="T11" i="5"/>
  <c r="T10" i="5"/>
  <c r="S13" i="5"/>
  <c r="S12" i="5"/>
  <c r="S11" i="5"/>
  <c r="S10" i="5"/>
  <c r="R13" i="5"/>
  <c r="R12" i="5"/>
  <c r="R11" i="5"/>
  <c r="R10" i="5"/>
  <c r="Q13" i="5"/>
  <c r="Q12" i="5"/>
  <c r="Q11" i="5"/>
  <c r="Q10" i="5"/>
  <c r="P13" i="5"/>
  <c r="P12" i="5"/>
  <c r="P11" i="5"/>
  <c r="P10" i="5"/>
  <c r="O13" i="5"/>
  <c r="O12" i="5"/>
  <c r="O11" i="5"/>
  <c r="O10" i="5"/>
  <c r="N13" i="5"/>
  <c r="N12" i="5"/>
  <c r="N11" i="5"/>
  <c r="N10" i="5"/>
  <c r="L13" i="5"/>
  <c r="L12" i="5"/>
  <c r="L11" i="5"/>
  <c r="L10" i="5"/>
  <c r="K13" i="5"/>
  <c r="K12" i="5"/>
  <c r="K11" i="5"/>
  <c r="K10" i="5"/>
  <c r="J13" i="5"/>
  <c r="J12" i="5"/>
  <c r="J11" i="5"/>
  <c r="J10" i="5"/>
  <c r="I13" i="5"/>
  <c r="I12" i="5"/>
  <c r="I11" i="5"/>
  <c r="I10" i="5"/>
  <c r="H13" i="5"/>
  <c r="H12" i="5"/>
  <c r="H11" i="5"/>
  <c r="H10" i="5"/>
  <c r="G13" i="5"/>
  <c r="G12" i="5"/>
  <c r="G10" i="5"/>
  <c r="F13" i="5"/>
  <c r="F12" i="5"/>
  <c r="C13" i="5"/>
  <c r="C12" i="5"/>
  <c r="C11" i="5"/>
  <c r="C10" i="5"/>
  <c r="B13" i="5"/>
  <c r="B12" i="5"/>
  <c r="B11" i="5"/>
  <c r="B10" i="5"/>
  <c r="A13" i="5"/>
  <c r="A12" i="5"/>
  <c r="A11" i="5"/>
  <c r="A10" i="5"/>
  <c r="C6" i="20"/>
  <c r="D13" i="5" s="1"/>
  <c r="C9" i="19" l="1"/>
  <c r="C5" i="19"/>
  <c r="C6" i="19" s="1"/>
  <c r="D12" i="5" s="1"/>
  <c r="C9" i="18"/>
  <c r="C5" i="18"/>
  <c r="C6" i="18" s="1"/>
  <c r="D11" i="5" s="1"/>
  <c r="C9" i="17"/>
  <c r="C5" i="17"/>
  <c r="C6" i="17" s="1"/>
  <c r="D10" i="5" s="1"/>
  <c r="JH9" i="5"/>
  <c r="JH8" i="5"/>
  <c r="JG9" i="5"/>
  <c r="JG8" i="5"/>
  <c r="JF9" i="5"/>
  <c r="JF8" i="5"/>
  <c r="JE9" i="5"/>
  <c r="JE8" i="5"/>
  <c r="JD9" i="5"/>
  <c r="JD8" i="5"/>
  <c r="JC9" i="5"/>
  <c r="JC8" i="5"/>
  <c r="JB9" i="5"/>
  <c r="JB8" i="5"/>
  <c r="IZ9" i="5"/>
  <c r="IZ8" i="5"/>
  <c r="IY9" i="5"/>
  <c r="IY8" i="5"/>
  <c r="IX9" i="5"/>
  <c r="IX8" i="5"/>
  <c r="IW9" i="5"/>
  <c r="IW8" i="5"/>
  <c r="IV9" i="5"/>
  <c r="IV8" i="5"/>
  <c r="IU9" i="5"/>
  <c r="IU8" i="5"/>
  <c r="IT9" i="5"/>
  <c r="IT8" i="5"/>
  <c r="IR9" i="5"/>
  <c r="IR8" i="5"/>
  <c r="IQ9" i="5"/>
  <c r="IQ8" i="5"/>
  <c r="IP9" i="5"/>
  <c r="IP8" i="5"/>
  <c r="IO9" i="5"/>
  <c r="IO8" i="5"/>
  <c r="IN9" i="5"/>
  <c r="IN8" i="5"/>
  <c r="IM9" i="5"/>
  <c r="IM8" i="5"/>
  <c r="IL9" i="5"/>
  <c r="IL8" i="5"/>
  <c r="IJ9" i="5"/>
  <c r="IJ8" i="5"/>
  <c r="II9" i="5"/>
  <c r="II8" i="5"/>
  <c r="IH9" i="5"/>
  <c r="IH8" i="5"/>
  <c r="IG9" i="5"/>
  <c r="IG8" i="5"/>
  <c r="IF9" i="5"/>
  <c r="IF8" i="5"/>
  <c r="IE9" i="5"/>
  <c r="IE8" i="5"/>
  <c r="ID9" i="5"/>
  <c r="ID8" i="5"/>
  <c r="IB9" i="5"/>
  <c r="IB8" i="5"/>
  <c r="IA9" i="5"/>
  <c r="IA8" i="5"/>
  <c r="HZ9" i="5"/>
  <c r="HZ8" i="5"/>
  <c r="HY9" i="5"/>
  <c r="HY8" i="5"/>
  <c r="HX9" i="5"/>
  <c r="HX8" i="5"/>
  <c r="HW9" i="5"/>
  <c r="HW8" i="5"/>
  <c r="HV9" i="5"/>
  <c r="HV8" i="5"/>
  <c r="HT9" i="5"/>
  <c r="HT8" i="5"/>
  <c r="HS9" i="5"/>
  <c r="HS8" i="5"/>
  <c r="HR9" i="5"/>
  <c r="HR8" i="5"/>
  <c r="HQ9" i="5"/>
  <c r="HQ8" i="5"/>
  <c r="HP9" i="5"/>
  <c r="HP8" i="5"/>
  <c r="HO9" i="5"/>
  <c r="HO8" i="5"/>
  <c r="HN9" i="5"/>
  <c r="HN8" i="5"/>
  <c r="HL9" i="5"/>
  <c r="HL8" i="5"/>
  <c r="HK9" i="5"/>
  <c r="HK8" i="5"/>
  <c r="HJ9" i="5"/>
  <c r="HJ8" i="5"/>
  <c r="HI9" i="5"/>
  <c r="HI8" i="5"/>
  <c r="HH9" i="5"/>
  <c r="HH8" i="5"/>
  <c r="HG9" i="5"/>
  <c r="HG8" i="5"/>
  <c r="HF9" i="5"/>
  <c r="HF8" i="5"/>
  <c r="HD9" i="5"/>
  <c r="HD8" i="5"/>
  <c r="HC9" i="5"/>
  <c r="HC8" i="5"/>
  <c r="HB9" i="5"/>
  <c r="HB8" i="5"/>
  <c r="HA9" i="5"/>
  <c r="HA8" i="5"/>
  <c r="GZ9" i="5"/>
  <c r="GZ8" i="5"/>
  <c r="GY9" i="5"/>
  <c r="GY8" i="5"/>
  <c r="GX9" i="5"/>
  <c r="GX8" i="5"/>
  <c r="GV9" i="5"/>
  <c r="GV8" i="5"/>
  <c r="GU9" i="5"/>
  <c r="GU8" i="5"/>
  <c r="GT9" i="5"/>
  <c r="GT8" i="5"/>
  <c r="GS9" i="5"/>
  <c r="GS8" i="5"/>
  <c r="GR9" i="5"/>
  <c r="GR8" i="5"/>
  <c r="GQ9" i="5"/>
  <c r="GQ8" i="5"/>
  <c r="GP9" i="5"/>
  <c r="GP8" i="5"/>
  <c r="GN9" i="5"/>
  <c r="GN8" i="5"/>
  <c r="GM9" i="5"/>
  <c r="GM8" i="5"/>
  <c r="GL9" i="5"/>
  <c r="GL8" i="5"/>
  <c r="GK9" i="5"/>
  <c r="GK8" i="5"/>
  <c r="GJ9" i="5"/>
  <c r="GJ8" i="5"/>
  <c r="GI9" i="5"/>
  <c r="GM6" i="5"/>
  <c r="GI8" i="5"/>
  <c r="GH9" i="5"/>
  <c r="GH8" i="5"/>
  <c r="GF9" i="5"/>
  <c r="GF8" i="5"/>
  <c r="GE9" i="5"/>
  <c r="GE8" i="5"/>
  <c r="GD9" i="5"/>
  <c r="GD8" i="5"/>
  <c r="GC9" i="5"/>
  <c r="GC8" i="5"/>
  <c r="GB9" i="5"/>
  <c r="GB8" i="5"/>
  <c r="GA9" i="5"/>
  <c r="GA8" i="5"/>
  <c r="FZ9" i="5"/>
  <c r="FZ8" i="5"/>
  <c r="FX9" i="5"/>
  <c r="FX8" i="5"/>
  <c r="FW9" i="5"/>
  <c r="FW8" i="5"/>
  <c r="FV9" i="5"/>
  <c r="FV8" i="5"/>
  <c r="FU9" i="5"/>
  <c r="FU8" i="5"/>
  <c r="FT9" i="5"/>
  <c r="FT8" i="5"/>
  <c r="FS9" i="5"/>
  <c r="FS8" i="5"/>
  <c r="FR9" i="5"/>
  <c r="FR8" i="5"/>
  <c r="FP9" i="5"/>
  <c r="FP8" i="5"/>
  <c r="FO9" i="5"/>
  <c r="FO8" i="5"/>
  <c r="FN9" i="5"/>
  <c r="FN8" i="5"/>
  <c r="FM9" i="5"/>
  <c r="FM8" i="5"/>
  <c r="FL9" i="5"/>
  <c r="FL8" i="5"/>
  <c r="FK9" i="5"/>
  <c r="FK8" i="5"/>
  <c r="FJ9" i="5"/>
  <c r="FJ8" i="5"/>
  <c r="FH9" i="5"/>
  <c r="FH8" i="5"/>
  <c r="FG9" i="5"/>
  <c r="FG8" i="5"/>
  <c r="FF9" i="5"/>
  <c r="FF8" i="5"/>
  <c r="FE9" i="5"/>
  <c r="FE8" i="5"/>
  <c r="FD9" i="5"/>
  <c r="FD8" i="5"/>
  <c r="FC9" i="5"/>
  <c r="FC8" i="5"/>
  <c r="FB9" i="5"/>
  <c r="FB8" i="5"/>
  <c r="EZ9" i="5" l="1"/>
  <c r="EZ8" i="5"/>
  <c r="EY9" i="5"/>
  <c r="EY8" i="5"/>
  <c r="EX9" i="5"/>
  <c r="EX8" i="5"/>
  <c r="EW9" i="5"/>
  <c r="EW8" i="5"/>
  <c r="EV9" i="5"/>
  <c r="EV8" i="5"/>
  <c r="EU9" i="5"/>
  <c r="EU8" i="5"/>
  <c r="ET9" i="5"/>
  <c r="ET8" i="5"/>
  <c r="ER9" i="5"/>
  <c r="ER8" i="5"/>
  <c r="EQ9" i="5"/>
  <c r="EQ8" i="5"/>
  <c r="EP9" i="5"/>
  <c r="EP8" i="5"/>
  <c r="EO9" i="5"/>
  <c r="EO8" i="5"/>
  <c r="EN9" i="5"/>
  <c r="EN8" i="5"/>
  <c r="EM9" i="5"/>
  <c r="EM8" i="5"/>
  <c r="EL9" i="5"/>
  <c r="EL8" i="5"/>
  <c r="EJ9" i="5"/>
  <c r="EJ8" i="5"/>
  <c r="EI9" i="5"/>
  <c r="EI8" i="5"/>
  <c r="EH9" i="5"/>
  <c r="EH8" i="5"/>
  <c r="EG9" i="5"/>
  <c r="EG8" i="5"/>
  <c r="EF9" i="5"/>
  <c r="EF8" i="5"/>
  <c r="EE9" i="5"/>
  <c r="EE8" i="5"/>
  <c r="ED9" i="5"/>
  <c r="ED8" i="5"/>
  <c r="EB9" i="5"/>
  <c r="EB8" i="5"/>
  <c r="EA9" i="5"/>
  <c r="EA8" i="5"/>
  <c r="DZ9" i="5"/>
  <c r="DZ8" i="5"/>
  <c r="DY9" i="5"/>
  <c r="DY8" i="5"/>
  <c r="DX9" i="5"/>
  <c r="DX8" i="5"/>
  <c r="DW9" i="5"/>
  <c r="DW8" i="5"/>
  <c r="DV9" i="5"/>
  <c r="DV8" i="5"/>
  <c r="DT9" i="5"/>
  <c r="DT8" i="5"/>
  <c r="DS9" i="5"/>
  <c r="DS8" i="5"/>
  <c r="DR9" i="5"/>
  <c r="DR8" i="5"/>
  <c r="DQ9" i="5"/>
  <c r="DQ8" i="5"/>
  <c r="DP9" i="5"/>
  <c r="DP8" i="5"/>
  <c r="DO9" i="5"/>
  <c r="DO8" i="5"/>
  <c r="DN9" i="5"/>
  <c r="DN8" i="5"/>
  <c r="DL9" i="5"/>
  <c r="DL8" i="5"/>
  <c r="DK9" i="5"/>
  <c r="DK8" i="5"/>
  <c r="DJ9" i="5"/>
  <c r="DJ8" i="5"/>
  <c r="DI9" i="5"/>
  <c r="DI8" i="5"/>
  <c r="DH9" i="5" l="1"/>
  <c r="DH8" i="5"/>
  <c r="DG9" i="5"/>
  <c r="DG8" i="5"/>
  <c r="DF9" i="5"/>
  <c r="DF8" i="5"/>
  <c r="DD9" i="5"/>
  <c r="DD8" i="5"/>
  <c r="DC9" i="5"/>
  <c r="DC8" i="5"/>
  <c r="DB9" i="5"/>
  <c r="DB8" i="5"/>
  <c r="DA9" i="5"/>
  <c r="DA8" i="5"/>
  <c r="CZ9" i="5"/>
  <c r="CZ8" i="5"/>
  <c r="CY9" i="5"/>
  <c r="CY8" i="5"/>
  <c r="CX9" i="5"/>
  <c r="CX8" i="5"/>
  <c r="CV9" i="5"/>
  <c r="CV8" i="5"/>
  <c r="CU9" i="5"/>
  <c r="CU8" i="5"/>
  <c r="CT9" i="5"/>
  <c r="CT8" i="5"/>
  <c r="CS9" i="5"/>
  <c r="CS8" i="5"/>
  <c r="CR9" i="5"/>
  <c r="CR8" i="5"/>
  <c r="CQ9" i="5"/>
  <c r="CQ8" i="5"/>
  <c r="CP9" i="5"/>
  <c r="CP8" i="5"/>
  <c r="CN9" i="5"/>
  <c r="CN8" i="5"/>
  <c r="CM9" i="5"/>
  <c r="CM8" i="5"/>
  <c r="CL9" i="5"/>
  <c r="CL8" i="5"/>
  <c r="CK9" i="5"/>
  <c r="CK8" i="5"/>
  <c r="CK7" i="5"/>
  <c r="CJ9" i="5"/>
  <c r="CJ8" i="5"/>
  <c r="CI9" i="5"/>
  <c r="CI8" i="5"/>
  <c r="CH9" i="5"/>
  <c r="CH8" i="5"/>
  <c r="CF9" i="5"/>
  <c r="CF8" i="5"/>
  <c r="CE9" i="5"/>
  <c r="CE8" i="5"/>
  <c r="CD9" i="5"/>
  <c r="CD8" i="5"/>
  <c r="CC9" i="5"/>
  <c r="CC8" i="5"/>
  <c r="CB9" i="5"/>
  <c r="CB8" i="5"/>
  <c r="CA9" i="5"/>
  <c r="CA8" i="5"/>
  <c r="BZ9" i="5"/>
  <c r="BZ8" i="5"/>
  <c r="BX9" i="5"/>
  <c r="BX8" i="5"/>
  <c r="BW9" i="5"/>
  <c r="BW8" i="5"/>
  <c r="BV9" i="5"/>
  <c r="BV8" i="5"/>
  <c r="BU9" i="5"/>
  <c r="BU8" i="5"/>
  <c r="BT9" i="5"/>
  <c r="BT8" i="5"/>
  <c r="BS9" i="5"/>
  <c r="BS8" i="5"/>
  <c r="BR9" i="5"/>
  <c r="BR8" i="5"/>
  <c r="BP9" i="5"/>
  <c r="BP8" i="5"/>
  <c r="BO9" i="5"/>
  <c r="BO8" i="5"/>
  <c r="BN9" i="5"/>
  <c r="BN8" i="5"/>
  <c r="BM9" i="5"/>
  <c r="BM8" i="5"/>
  <c r="BL9" i="5"/>
  <c r="BL8" i="5"/>
  <c r="BK9" i="5"/>
  <c r="BK8" i="5"/>
  <c r="BJ9" i="5"/>
  <c r="BJ8" i="5"/>
  <c r="BH9" i="5"/>
  <c r="BH8" i="5"/>
  <c r="BG9" i="5"/>
  <c r="BG8" i="5"/>
  <c r="BF9" i="5"/>
  <c r="BF8" i="5"/>
  <c r="BE9" i="5"/>
  <c r="BE8" i="5"/>
  <c r="BD9" i="5"/>
  <c r="BD8" i="5"/>
  <c r="BC9" i="5"/>
  <c r="BC8" i="5"/>
  <c r="BB9" i="5"/>
  <c r="BB8" i="5"/>
  <c r="AZ9" i="5"/>
  <c r="AZ8" i="5"/>
  <c r="AY9" i="5"/>
  <c r="AY8" i="5"/>
  <c r="AX9" i="5"/>
  <c r="AX8" i="5"/>
  <c r="AW9" i="5"/>
  <c r="AW8" i="5"/>
  <c r="AV9" i="5"/>
  <c r="AV8" i="5"/>
  <c r="AU9" i="5"/>
  <c r="AU8" i="5"/>
  <c r="AT9" i="5"/>
  <c r="AT8" i="5"/>
  <c r="AR9" i="5"/>
  <c r="AR8" i="5"/>
  <c r="AQ9" i="5"/>
  <c r="AQ8" i="5"/>
  <c r="AP9" i="5"/>
  <c r="AP8" i="5"/>
  <c r="AO9" i="5"/>
  <c r="AO8" i="5"/>
  <c r="AN9" i="5"/>
  <c r="AN8" i="5"/>
  <c r="AM9" i="5"/>
  <c r="AM8" i="5"/>
  <c r="AL9" i="5"/>
  <c r="AL8" i="5"/>
  <c r="AJ9" i="5"/>
  <c r="AJ8" i="5"/>
  <c r="AI9" i="5"/>
  <c r="AI8" i="5"/>
  <c r="AH9" i="5"/>
  <c r="AH8" i="5"/>
  <c r="AG9" i="5"/>
  <c r="AG8" i="5"/>
  <c r="AF9" i="5"/>
  <c r="AF8" i="5"/>
  <c r="AE9" i="5"/>
  <c r="AE8" i="5"/>
  <c r="AD9" i="5"/>
  <c r="AD8" i="5"/>
  <c r="W8" i="5"/>
  <c r="W9" i="5"/>
  <c r="AB9" i="5"/>
  <c r="AA9" i="5"/>
  <c r="Z9" i="5"/>
  <c r="Y9" i="5"/>
  <c r="X9" i="5"/>
  <c r="V9" i="5"/>
  <c r="AB8" i="5"/>
  <c r="AA8" i="5"/>
  <c r="Z8" i="5"/>
  <c r="Y8" i="5"/>
  <c r="X8" i="5"/>
  <c r="V8" i="5"/>
  <c r="T9" i="5"/>
  <c r="S9" i="5"/>
  <c r="R9" i="5"/>
  <c r="Q9" i="5"/>
  <c r="P9" i="5"/>
  <c r="O9" i="5"/>
  <c r="N9" i="5"/>
  <c r="T8" i="5"/>
  <c r="S8" i="5"/>
  <c r="R8" i="5"/>
  <c r="Q8" i="5"/>
  <c r="P8" i="5"/>
  <c r="O8" i="5"/>
  <c r="N8" i="5"/>
  <c r="L9" i="5"/>
  <c r="K9" i="5"/>
  <c r="J9" i="5"/>
  <c r="I9" i="5"/>
  <c r="H9" i="5"/>
  <c r="L8" i="5"/>
  <c r="L7" i="5"/>
  <c r="K8" i="5"/>
  <c r="J8" i="5"/>
  <c r="I8" i="5"/>
  <c r="H8" i="5"/>
  <c r="G9" i="5"/>
  <c r="G8" i="5"/>
  <c r="F9" i="5"/>
  <c r="F8" i="5"/>
  <c r="C9" i="5"/>
  <c r="C8" i="5"/>
  <c r="B9" i="5"/>
  <c r="B8" i="5"/>
  <c r="A9" i="5"/>
  <c r="A8" i="5"/>
  <c r="C9" i="16" l="1"/>
  <c r="C5" i="16"/>
  <c r="C6" i="16" s="1"/>
  <c r="D9" i="5" s="1"/>
  <c r="JH7" i="5"/>
  <c r="JH6" i="5"/>
  <c r="JG7" i="5"/>
  <c r="JG6" i="5"/>
  <c r="JF7" i="5"/>
  <c r="JF6" i="5"/>
  <c r="JE7" i="5"/>
  <c r="JE6" i="5"/>
  <c r="JD7" i="5"/>
  <c r="JD6" i="5"/>
  <c r="JC7" i="5"/>
  <c r="JC6" i="5"/>
  <c r="JB7" i="5"/>
  <c r="JB6" i="5"/>
  <c r="IZ7" i="5"/>
  <c r="IZ6" i="5"/>
  <c r="IY7" i="5"/>
  <c r="IY6" i="5"/>
  <c r="IX7" i="5"/>
  <c r="IX6" i="5"/>
  <c r="IW7" i="5"/>
  <c r="IW6" i="5"/>
  <c r="IV7" i="5"/>
  <c r="IV6" i="5"/>
  <c r="IU7" i="5"/>
  <c r="IU6" i="5"/>
  <c r="IT7" i="5"/>
  <c r="IT6" i="5"/>
  <c r="IR7" i="5"/>
  <c r="IR6" i="5"/>
  <c r="IQ7" i="5"/>
  <c r="IQ6" i="5"/>
  <c r="IP7" i="5"/>
  <c r="IP6" i="5"/>
  <c r="IO7" i="5"/>
  <c r="IO6" i="5"/>
  <c r="IN7" i="5"/>
  <c r="IN6" i="5"/>
  <c r="IM7" i="5"/>
  <c r="IM6" i="5"/>
  <c r="IL7" i="5"/>
  <c r="IL6" i="5"/>
  <c r="IJ7" i="5"/>
  <c r="IJ6" i="5"/>
  <c r="II7" i="5"/>
  <c r="II6" i="5"/>
  <c r="IH7" i="5"/>
  <c r="IH6" i="5"/>
  <c r="IG7" i="5"/>
  <c r="IG6" i="5"/>
  <c r="IF7" i="5"/>
  <c r="IF6" i="5"/>
  <c r="IE7" i="5"/>
  <c r="IE6" i="5"/>
  <c r="ID7" i="5"/>
  <c r="ID6" i="5"/>
  <c r="IB7" i="5"/>
  <c r="IB6" i="5"/>
  <c r="IA7" i="5"/>
  <c r="IA6" i="5"/>
  <c r="HZ7" i="5"/>
  <c r="HZ6" i="5"/>
  <c r="HY7" i="5"/>
  <c r="HY6" i="5"/>
  <c r="HX7" i="5"/>
  <c r="HX6" i="5"/>
  <c r="HW7" i="5"/>
  <c r="HW6" i="5"/>
  <c r="HV7" i="5"/>
  <c r="HV6" i="5"/>
  <c r="HT7" i="5"/>
  <c r="HT6" i="5"/>
  <c r="HS7" i="5"/>
  <c r="HS6" i="5"/>
  <c r="HR7" i="5"/>
  <c r="HR6" i="5"/>
  <c r="HQ7" i="5"/>
  <c r="HQ6" i="5"/>
  <c r="HP7" i="5"/>
  <c r="HP6" i="5"/>
  <c r="HO7" i="5"/>
  <c r="HO6" i="5"/>
  <c r="HN7" i="5"/>
  <c r="HN6" i="5"/>
  <c r="HL7" i="5"/>
  <c r="HL6" i="5"/>
  <c r="HK7" i="5"/>
  <c r="HK6" i="5"/>
  <c r="HJ7" i="5"/>
  <c r="HJ6" i="5"/>
  <c r="HI7" i="5"/>
  <c r="HI6" i="5"/>
  <c r="HH7" i="5"/>
  <c r="HH6" i="5"/>
  <c r="HG7" i="5"/>
  <c r="HG6" i="5"/>
  <c r="HF7" i="5"/>
  <c r="HF6" i="5"/>
  <c r="HD7" i="5"/>
  <c r="HD6" i="5"/>
  <c r="HC7" i="5"/>
  <c r="HC6" i="5"/>
  <c r="HB7" i="5"/>
  <c r="HB6" i="5"/>
  <c r="HA7" i="5"/>
  <c r="HA6" i="5"/>
  <c r="GZ7" i="5"/>
  <c r="GZ6" i="5"/>
  <c r="GY7" i="5"/>
  <c r="GY6" i="5"/>
  <c r="GX7" i="5"/>
  <c r="GX6" i="5"/>
  <c r="GV7" i="5"/>
  <c r="GV6" i="5"/>
  <c r="GU7" i="5"/>
  <c r="GU6" i="5"/>
  <c r="GT7" i="5"/>
  <c r="GT6" i="5"/>
  <c r="GS7" i="5"/>
  <c r="GS6" i="5"/>
  <c r="GR7" i="5"/>
  <c r="GR6" i="5"/>
  <c r="GQ7" i="5"/>
  <c r="GQ6" i="5"/>
  <c r="GP7" i="5"/>
  <c r="GP6" i="5"/>
  <c r="GN7" i="5"/>
  <c r="GN6" i="5"/>
  <c r="GM7" i="5"/>
  <c r="GL7" i="5"/>
  <c r="GL6" i="5"/>
  <c r="GK7" i="5"/>
  <c r="GK6" i="5"/>
  <c r="GJ7" i="5"/>
  <c r="GJ6" i="5"/>
  <c r="GI7" i="5"/>
  <c r="GI6" i="5"/>
  <c r="GH7" i="5"/>
  <c r="GH6" i="5"/>
  <c r="GF7" i="5"/>
  <c r="GF6" i="5"/>
  <c r="GE7" i="5"/>
  <c r="GE6" i="5"/>
  <c r="GD7" i="5"/>
  <c r="GD6" i="5"/>
  <c r="GC7" i="5"/>
  <c r="GC6" i="5"/>
  <c r="GB7" i="5"/>
  <c r="GB6" i="5"/>
  <c r="GA7" i="5"/>
  <c r="GA6" i="5"/>
  <c r="FZ7" i="5"/>
  <c r="FZ6" i="5"/>
  <c r="FX7" i="5"/>
  <c r="FX6" i="5"/>
  <c r="FW7" i="5"/>
  <c r="FW6" i="5"/>
  <c r="FV7" i="5"/>
  <c r="FV6" i="5"/>
  <c r="FU7" i="5"/>
  <c r="FU6" i="5"/>
  <c r="FT7" i="5"/>
  <c r="FT6" i="5"/>
  <c r="FS7" i="5"/>
  <c r="FS6" i="5"/>
  <c r="FR7" i="5"/>
  <c r="FR6" i="5"/>
  <c r="FP7" i="5"/>
  <c r="FP6" i="5"/>
  <c r="FO7" i="5"/>
  <c r="FO6" i="5"/>
  <c r="FN7" i="5"/>
  <c r="FN6" i="5"/>
  <c r="FM7" i="5"/>
  <c r="FM6" i="5"/>
  <c r="FL7" i="5"/>
  <c r="FL6" i="5"/>
  <c r="FK7" i="5"/>
  <c r="FK6" i="5"/>
  <c r="FJ7" i="5"/>
  <c r="FJ6" i="5"/>
  <c r="FH7" i="5"/>
  <c r="FH6" i="5"/>
  <c r="FG7" i="5"/>
  <c r="FG6" i="5"/>
  <c r="FF7" i="5"/>
  <c r="FF6" i="5"/>
  <c r="FE7" i="5"/>
  <c r="FE6" i="5"/>
  <c r="FD7" i="5"/>
  <c r="FD6" i="5"/>
  <c r="FC7" i="5"/>
  <c r="FC6" i="5"/>
  <c r="FB7" i="5"/>
  <c r="FB6" i="5"/>
  <c r="EZ7" i="5" l="1"/>
  <c r="EZ6" i="5"/>
  <c r="EY7" i="5"/>
  <c r="EY6" i="5"/>
  <c r="EX7" i="5"/>
  <c r="EX6" i="5"/>
  <c r="EW7" i="5"/>
  <c r="EW6" i="5"/>
  <c r="EV7" i="5"/>
  <c r="EV6" i="5"/>
  <c r="EU7" i="5"/>
  <c r="EU6" i="5"/>
  <c r="ET7" i="5"/>
  <c r="ET6" i="5"/>
  <c r="ER7" i="5"/>
  <c r="ER6" i="5"/>
  <c r="EQ7" i="5"/>
  <c r="EQ6" i="5"/>
  <c r="EP7" i="5"/>
  <c r="EP6" i="5"/>
  <c r="EO7" i="5"/>
  <c r="EO6" i="5"/>
  <c r="EN7" i="5"/>
  <c r="EN6" i="5"/>
  <c r="EM7" i="5"/>
  <c r="EM6" i="5"/>
  <c r="EL7" i="5"/>
  <c r="EL6" i="5"/>
  <c r="EJ7" i="5"/>
  <c r="EJ6" i="5"/>
  <c r="EI7" i="5"/>
  <c r="EI6" i="5"/>
  <c r="EH7" i="5"/>
  <c r="EH6" i="5"/>
  <c r="EG7" i="5"/>
  <c r="EG6" i="5"/>
  <c r="EF7" i="5"/>
  <c r="EF6" i="5"/>
  <c r="EE7" i="5"/>
  <c r="EE6" i="5"/>
  <c r="ED7" i="5"/>
  <c r="ED6" i="5"/>
  <c r="EB7" i="5"/>
  <c r="EB6" i="5"/>
  <c r="EA7" i="5"/>
  <c r="EA6" i="5"/>
  <c r="DZ7" i="5"/>
  <c r="DZ6" i="5"/>
  <c r="DY7" i="5"/>
  <c r="DY6" i="5"/>
  <c r="DX7" i="5"/>
  <c r="DX6" i="5"/>
  <c r="DW7" i="5"/>
  <c r="DW6" i="5"/>
  <c r="DV7" i="5"/>
  <c r="DV6" i="5"/>
  <c r="DT7" i="5"/>
  <c r="DT6" i="5"/>
  <c r="DS7" i="5"/>
  <c r="DS6" i="5"/>
  <c r="DR7" i="5"/>
  <c r="DR6" i="5"/>
  <c r="DQ7" i="5"/>
  <c r="DQ6" i="5"/>
  <c r="DP7" i="5"/>
  <c r="DP6" i="5"/>
  <c r="DO7" i="5"/>
  <c r="DO6" i="5"/>
  <c r="DN7" i="5"/>
  <c r="DN6" i="5"/>
  <c r="DL7" i="5"/>
  <c r="DL6" i="5"/>
  <c r="DK7" i="5"/>
  <c r="DK6" i="5"/>
  <c r="DJ7" i="5"/>
  <c r="DJ6" i="5"/>
  <c r="DI7" i="5"/>
  <c r="DI6" i="5"/>
  <c r="DH7" i="5"/>
  <c r="DH6" i="5"/>
  <c r="DG7" i="5"/>
  <c r="DG6" i="5"/>
  <c r="DF7" i="5"/>
  <c r="DF6" i="5"/>
  <c r="DD7" i="5"/>
  <c r="DD6" i="5"/>
  <c r="DC7" i="5"/>
  <c r="DC6" i="5"/>
  <c r="DB7" i="5"/>
  <c r="DB6" i="5"/>
  <c r="DA7" i="5"/>
  <c r="DA6" i="5"/>
  <c r="CZ7" i="5"/>
  <c r="CZ6" i="5"/>
  <c r="CY7" i="5"/>
  <c r="CY6" i="5"/>
  <c r="CX7" i="5"/>
  <c r="CX6" i="5"/>
  <c r="CX5" i="5"/>
  <c r="CV7" i="5"/>
  <c r="CV6" i="5"/>
  <c r="CU7" i="5"/>
  <c r="CU6" i="5"/>
  <c r="CT7" i="5"/>
  <c r="CT6" i="5"/>
  <c r="CS7" i="5"/>
  <c r="CS6" i="5"/>
  <c r="CR7" i="5"/>
  <c r="CR6" i="5"/>
  <c r="CQ7" i="5"/>
  <c r="CQ6" i="5"/>
  <c r="CP7" i="5"/>
  <c r="CP6" i="5"/>
  <c r="CN7" i="5" l="1"/>
  <c r="CN6" i="5"/>
  <c r="CM7" i="5"/>
  <c r="CM6" i="5"/>
  <c r="CL7" i="5"/>
  <c r="CL6" i="5"/>
  <c r="CK6" i="5"/>
  <c r="CJ7" i="5"/>
  <c r="CJ6" i="5"/>
  <c r="CI7" i="5"/>
  <c r="CI6" i="5"/>
  <c r="CH7" i="5"/>
  <c r="CH6" i="5"/>
  <c r="CF7" i="5"/>
  <c r="CF6" i="5"/>
  <c r="CE7" i="5"/>
  <c r="CE6" i="5"/>
  <c r="CD7" i="5"/>
  <c r="CD6" i="5"/>
  <c r="CC7" i="5"/>
  <c r="CC6" i="5"/>
  <c r="CB7" i="5"/>
  <c r="CB6" i="5"/>
  <c r="CA7" i="5"/>
  <c r="CA6" i="5"/>
  <c r="BZ7" i="5"/>
  <c r="BZ6" i="5"/>
  <c r="BX7" i="5"/>
  <c r="BX6" i="5"/>
  <c r="BW7" i="5"/>
  <c r="BW6" i="5"/>
  <c r="BW5" i="5"/>
  <c r="BV7" i="5"/>
  <c r="BV6" i="5"/>
  <c r="BU7" i="5"/>
  <c r="BU6" i="5"/>
  <c r="BT7" i="5"/>
  <c r="BT6" i="5"/>
  <c r="BS7" i="5"/>
  <c r="BS6" i="5"/>
  <c r="BR7" i="5"/>
  <c r="BR6" i="5"/>
  <c r="BP7" i="5"/>
  <c r="BP6" i="5"/>
  <c r="BO7" i="5"/>
  <c r="BO6" i="5"/>
  <c r="BN7" i="5"/>
  <c r="BN6" i="5"/>
  <c r="BM7" i="5"/>
  <c r="BM6" i="5"/>
  <c r="BM5" i="5"/>
  <c r="BL7" i="5"/>
  <c r="BL6" i="5"/>
  <c r="BK7" i="5"/>
  <c r="BK6" i="5"/>
  <c r="BJ7" i="5"/>
  <c r="BJ6" i="5"/>
  <c r="BH7" i="5"/>
  <c r="BH6" i="5"/>
  <c r="BG7" i="5"/>
  <c r="BG6" i="5"/>
  <c r="BF7" i="5"/>
  <c r="BF6" i="5"/>
  <c r="BE7" i="5"/>
  <c r="BE6" i="5"/>
  <c r="BD7" i="5"/>
  <c r="BD6" i="5"/>
  <c r="BC7" i="5"/>
  <c r="BC6" i="5"/>
  <c r="BC5" i="5"/>
  <c r="BD5" i="5"/>
  <c r="BB7" i="5"/>
  <c r="BB6" i="5"/>
  <c r="AZ7" i="5"/>
  <c r="AZ6" i="5"/>
  <c r="AY7" i="5"/>
  <c r="AY6" i="5"/>
  <c r="AX7" i="5"/>
  <c r="AX6" i="5"/>
  <c r="AW7" i="5"/>
  <c r="AW6" i="5"/>
  <c r="AV7" i="5"/>
  <c r="AV6" i="5"/>
  <c r="AU7" i="5"/>
  <c r="AU6" i="5"/>
  <c r="AT7" i="5"/>
  <c r="AT6" i="5"/>
  <c r="AR7" i="5"/>
  <c r="AR6" i="5"/>
  <c r="AQ7" i="5"/>
  <c r="AQ6" i="5"/>
  <c r="AP7" i="5"/>
  <c r="AP6" i="5"/>
  <c r="AO7" i="5"/>
  <c r="AO6" i="5"/>
  <c r="AN7" i="5"/>
  <c r="AN6" i="5"/>
  <c r="AM7" i="5"/>
  <c r="AM6" i="5"/>
  <c r="AL7" i="5"/>
  <c r="AL6" i="5"/>
  <c r="AJ7" i="5"/>
  <c r="AJ6" i="5"/>
  <c r="AI7" i="5"/>
  <c r="AI6" i="5"/>
  <c r="AH7" i="5"/>
  <c r="AH6" i="5"/>
  <c r="AG7" i="5"/>
  <c r="AG6" i="5"/>
  <c r="AF7" i="5"/>
  <c r="AF6" i="5"/>
  <c r="AE7" i="5"/>
  <c r="AE6" i="5"/>
  <c r="AD7" i="5"/>
  <c r="AD6" i="5"/>
  <c r="AB7" i="5"/>
  <c r="AB6" i="5"/>
  <c r="AA7" i="5"/>
  <c r="AA6" i="5"/>
  <c r="Z7" i="5" l="1"/>
  <c r="Z6" i="5"/>
  <c r="Z5" i="5"/>
  <c r="Y7" i="5"/>
  <c r="Y6" i="5"/>
  <c r="X7" i="5"/>
  <c r="X6" i="5"/>
  <c r="W7" i="5"/>
  <c r="W6" i="5"/>
  <c r="V7" i="5"/>
  <c r="V6" i="5"/>
  <c r="T7" i="5"/>
  <c r="T6" i="5"/>
  <c r="S7" i="5"/>
  <c r="S6" i="5"/>
  <c r="R7" i="5"/>
  <c r="R6" i="5"/>
  <c r="Q7" i="5"/>
  <c r="Q6" i="5"/>
  <c r="P7" i="5"/>
  <c r="P6" i="5"/>
  <c r="O7" i="5"/>
  <c r="O6" i="5"/>
  <c r="N7" i="5"/>
  <c r="N6" i="5"/>
  <c r="L6" i="5"/>
  <c r="K7" i="5"/>
  <c r="K6" i="5"/>
  <c r="B7" i="5"/>
  <c r="B6" i="5"/>
  <c r="J7" i="5"/>
  <c r="J6" i="5"/>
  <c r="I7" i="5"/>
  <c r="I6" i="5"/>
  <c r="H7" i="5"/>
  <c r="H6" i="5"/>
  <c r="G7" i="5"/>
  <c r="G6" i="5"/>
  <c r="F7" i="5"/>
  <c r="F6" i="5"/>
  <c r="F3" i="5"/>
  <c r="F4" i="5"/>
  <c r="F5" i="5"/>
  <c r="A7" i="5"/>
  <c r="A6" i="5"/>
  <c r="C7" i="5"/>
  <c r="C6" i="5"/>
  <c r="C9" i="15" l="1"/>
  <c r="C5" i="15"/>
  <c r="C6" i="15" s="1"/>
  <c r="D8" i="5" s="1"/>
  <c r="C9" i="13"/>
  <c r="C5" i="13"/>
  <c r="C6" i="13" s="1"/>
  <c r="D7" i="5" s="1"/>
  <c r="C9" i="10" l="1"/>
  <c r="C5" i="10"/>
  <c r="C6" i="10" s="1"/>
  <c r="D6" i="5" s="1"/>
  <c r="JG4" i="5" l="1"/>
  <c r="JF4" i="5" l="1"/>
  <c r="JH4" i="5"/>
  <c r="C5" i="2" l="1"/>
  <c r="C6" i="2" s="1"/>
  <c r="C9" i="2" l="1"/>
  <c r="A3" i="5" l="1"/>
  <c r="C5" i="4" l="1"/>
  <c r="C6" i="4" s="1"/>
  <c r="D5" i="5" s="1"/>
  <c r="C5" i="3"/>
  <c r="C6" i="3" s="1"/>
  <c r="D4" i="5" s="1"/>
  <c r="B2" i="5"/>
  <c r="C2" i="5" l="1"/>
  <c r="A5" i="5" l="1"/>
  <c r="A4" i="5"/>
  <c r="A2" i="5"/>
  <c r="C9" i="4" l="1"/>
  <c r="C9" i="3"/>
  <c r="D3" i="5"/>
  <c r="JH5" i="5" l="1"/>
  <c r="JH3" i="5"/>
  <c r="JG5" i="5"/>
  <c r="JG3" i="5"/>
  <c r="JF5" i="5"/>
  <c r="JF3" i="5"/>
  <c r="JE5" i="5"/>
  <c r="JE4" i="5"/>
  <c r="JE3" i="5"/>
  <c r="JD5" i="5"/>
  <c r="JD4" i="5"/>
  <c r="JD3" i="5"/>
  <c r="JC5" i="5"/>
  <c r="JC4" i="5"/>
  <c r="JC3" i="5"/>
  <c r="JB5" i="5"/>
  <c r="JB4" i="5"/>
  <c r="JB3" i="5"/>
  <c r="IZ5" i="5"/>
  <c r="IZ4" i="5"/>
  <c r="IZ3" i="5"/>
  <c r="IY5" i="5"/>
  <c r="IY4" i="5"/>
  <c r="IY3" i="5"/>
  <c r="IX5" i="5"/>
  <c r="IX4" i="5"/>
  <c r="IX3" i="5"/>
  <c r="IW5" i="5"/>
  <c r="IW4" i="5"/>
  <c r="IW3" i="5"/>
  <c r="IV5" i="5"/>
  <c r="IV4" i="5"/>
  <c r="IV3" i="5"/>
  <c r="IU5" i="5"/>
  <c r="IU4" i="5"/>
  <c r="IU3" i="5"/>
  <c r="IT5" i="5"/>
  <c r="IT4" i="5"/>
  <c r="IT3" i="5"/>
  <c r="IR5" i="5"/>
  <c r="IR4" i="5"/>
  <c r="IR3" i="5"/>
  <c r="IQ5" i="5"/>
  <c r="IQ4" i="5"/>
  <c r="IQ3" i="5"/>
  <c r="IP5" i="5"/>
  <c r="IP4" i="5"/>
  <c r="IP3" i="5"/>
  <c r="IO5" i="5"/>
  <c r="IO4" i="5"/>
  <c r="IO3" i="5"/>
  <c r="IN5" i="5"/>
  <c r="IN4" i="5"/>
  <c r="IN3" i="5"/>
  <c r="IM5" i="5"/>
  <c r="IM4" i="5"/>
  <c r="IM3" i="5"/>
  <c r="IL5" i="5"/>
  <c r="IL4" i="5"/>
  <c r="IL3" i="5"/>
  <c r="IJ5" i="5"/>
  <c r="IJ4" i="5"/>
  <c r="IJ3" i="5"/>
  <c r="II5" i="5"/>
  <c r="II4" i="5"/>
  <c r="II3" i="5"/>
  <c r="IH5" i="5"/>
  <c r="IH4" i="5"/>
  <c r="IH3" i="5"/>
  <c r="IG5" i="5"/>
  <c r="IG4" i="5"/>
  <c r="IG3" i="5"/>
  <c r="IF5" i="5"/>
  <c r="IF4" i="5"/>
  <c r="IF3" i="5"/>
  <c r="IE5" i="5"/>
  <c r="IE4" i="5"/>
  <c r="IE3" i="5"/>
  <c r="ID5" i="5"/>
  <c r="ID4" i="5"/>
  <c r="ID3" i="5"/>
  <c r="IB5" i="5"/>
  <c r="IB4" i="5"/>
  <c r="IB3" i="5"/>
  <c r="IA5" i="5"/>
  <c r="IA4" i="5"/>
  <c r="IA3" i="5"/>
  <c r="HZ5" i="5"/>
  <c r="HZ4" i="5"/>
  <c r="HZ3" i="5"/>
  <c r="HY5" i="5"/>
  <c r="HY4" i="5"/>
  <c r="HY3" i="5"/>
  <c r="HX5" i="5"/>
  <c r="HX4" i="5"/>
  <c r="HX3" i="5"/>
  <c r="HW5" i="5"/>
  <c r="HW4" i="5"/>
  <c r="HW3" i="5"/>
  <c r="HV5" i="5"/>
  <c r="HV4" i="5"/>
  <c r="HV3" i="5"/>
  <c r="HT5" i="5"/>
  <c r="HT4" i="5"/>
  <c r="HT3" i="5"/>
  <c r="HS5" i="5"/>
  <c r="HS4" i="5"/>
  <c r="HS3" i="5"/>
  <c r="HR5" i="5"/>
  <c r="HR4" i="5"/>
  <c r="HR3" i="5"/>
  <c r="HQ5" i="5"/>
  <c r="HQ4" i="5"/>
  <c r="HQ3" i="5"/>
  <c r="HP5" i="5"/>
  <c r="HP4" i="5"/>
  <c r="HP3" i="5"/>
  <c r="HO5" i="5"/>
  <c r="HO4" i="5"/>
  <c r="HO3" i="5"/>
  <c r="HN5" i="5"/>
  <c r="HN4" i="5"/>
  <c r="HN3" i="5"/>
  <c r="HL5" i="5" l="1"/>
  <c r="HL4" i="5"/>
  <c r="HL3" i="5"/>
  <c r="HK5" i="5"/>
  <c r="HK4" i="5"/>
  <c r="HK3" i="5"/>
  <c r="HJ5" i="5"/>
  <c r="HJ4" i="5"/>
  <c r="HJ3" i="5"/>
  <c r="HI5" i="5"/>
  <c r="HI4" i="5"/>
  <c r="HI3" i="5"/>
  <c r="HH5" i="5"/>
  <c r="HH4" i="5"/>
  <c r="HH3" i="5"/>
  <c r="HG5" i="5"/>
  <c r="HG4" i="5"/>
  <c r="HG3" i="5"/>
  <c r="HF5" i="5"/>
  <c r="HF4" i="5"/>
  <c r="HF3" i="5"/>
  <c r="HD5" i="5" l="1"/>
  <c r="HD4" i="5"/>
  <c r="HD3" i="5"/>
  <c r="HC5" i="5"/>
  <c r="HC4" i="5"/>
  <c r="HC3" i="5"/>
  <c r="HB5" i="5"/>
  <c r="HB4" i="5"/>
  <c r="HB3" i="5"/>
  <c r="HA5" i="5"/>
  <c r="HA4" i="5"/>
  <c r="HA3" i="5"/>
  <c r="GZ5" i="5"/>
  <c r="GZ4" i="5"/>
  <c r="GZ3" i="5"/>
  <c r="GY5" i="5"/>
  <c r="GY4" i="5"/>
  <c r="GY3" i="5"/>
  <c r="GX5" i="5"/>
  <c r="GX4" i="5"/>
  <c r="GX3" i="5"/>
  <c r="GV5" i="5"/>
  <c r="GV4" i="5"/>
  <c r="GV3" i="5"/>
  <c r="GU5" i="5"/>
  <c r="GU4" i="5"/>
  <c r="GU3" i="5"/>
  <c r="GT5" i="5"/>
  <c r="GT4" i="5"/>
  <c r="GT3" i="5"/>
  <c r="GS5" i="5"/>
  <c r="GS4" i="5"/>
  <c r="GS3" i="5"/>
  <c r="GR5" i="5"/>
  <c r="GR4" i="5"/>
  <c r="GR3" i="5"/>
  <c r="GQ5" i="5"/>
  <c r="GQ4" i="5"/>
  <c r="GQ3" i="5"/>
  <c r="GQ2" i="5"/>
  <c r="GP5" i="5"/>
  <c r="GP4" i="5"/>
  <c r="GP3" i="5"/>
  <c r="GN5" i="5"/>
  <c r="GN4" i="5"/>
  <c r="GN3" i="5"/>
  <c r="GM5" i="5"/>
  <c r="GM4" i="5"/>
  <c r="GM3" i="5"/>
  <c r="GL5" i="5"/>
  <c r="GL4" i="5"/>
  <c r="GL3" i="5"/>
  <c r="GK5" i="5"/>
  <c r="GK4" i="5"/>
  <c r="GK3" i="5"/>
  <c r="GJ5" i="5"/>
  <c r="GJ4" i="5"/>
  <c r="GJ3" i="5"/>
  <c r="GI5" i="5"/>
  <c r="GI4" i="5"/>
  <c r="GI3" i="5"/>
  <c r="GH5" i="5"/>
  <c r="GH4" i="5"/>
  <c r="GH3" i="5"/>
  <c r="GF5" i="5"/>
  <c r="GF4" i="5"/>
  <c r="GF3" i="5"/>
  <c r="GE5" i="5"/>
  <c r="GE4" i="5"/>
  <c r="GE3" i="5"/>
  <c r="GD5" i="5"/>
  <c r="GD4" i="5"/>
  <c r="GD3" i="5"/>
  <c r="GC5" i="5"/>
  <c r="GC4" i="5"/>
  <c r="GC3" i="5"/>
  <c r="GB5" i="5"/>
  <c r="GB4" i="5"/>
  <c r="GB3" i="5"/>
  <c r="GA5" i="5"/>
  <c r="GA4" i="5"/>
  <c r="GA3" i="5"/>
  <c r="FZ5" i="5"/>
  <c r="FZ4" i="5"/>
  <c r="FZ3" i="5"/>
  <c r="FX5" i="5"/>
  <c r="FX4" i="5"/>
  <c r="FX3" i="5"/>
  <c r="FW5" i="5"/>
  <c r="FW4" i="5"/>
  <c r="FW3" i="5"/>
  <c r="FV5" i="5"/>
  <c r="FV4" i="5"/>
  <c r="FV3" i="5"/>
  <c r="FU5" i="5"/>
  <c r="FU4" i="5"/>
  <c r="FU3" i="5"/>
  <c r="FT5" i="5"/>
  <c r="FT4" i="5"/>
  <c r="FT3" i="5"/>
  <c r="FS5" i="5"/>
  <c r="FS4" i="5"/>
  <c r="FS3" i="5"/>
  <c r="FR5" i="5"/>
  <c r="FR4" i="5"/>
  <c r="FR3" i="5"/>
  <c r="FP5" i="5"/>
  <c r="FJ5" i="5"/>
  <c r="FP4" i="5"/>
  <c r="FP3" i="5"/>
  <c r="FO5" i="5"/>
  <c r="FO4" i="5"/>
  <c r="FO3" i="5"/>
  <c r="FN5" i="5"/>
  <c r="FN4" i="5"/>
  <c r="FN3" i="5"/>
  <c r="FM5" i="5"/>
  <c r="FM4" i="5"/>
  <c r="FM3" i="5"/>
  <c r="FL5" i="5"/>
  <c r="FL4" i="5"/>
  <c r="FL3" i="5"/>
  <c r="FK5" i="5"/>
  <c r="FK4" i="5"/>
  <c r="FK3" i="5"/>
  <c r="FJ4" i="5"/>
  <c r="FJ3" i="5"/>
  <c r="FH5" i="5"/>
  <c r="FH4" i="5"/>
  <c r="FH3" i="5"/>
  <c r="FG5" i="5"/>
  <c r="FG4" i="5"/>
  <c r="FG3" i="5"/>
  <c r="FF5" i="5"/>
  <c r="FF4" i="5"/>
  <c r="FF3" i="5"/>
  <c r="FE5" i="5"/>
  <c r="FE4" i="5"/>
  <c r="FE3" i="5"/>
  <c r="FD5" i="5"/>
  <c r="FD4" i="5"/>
  <c r="FD3" i="5"/>
  <c r="FC5" i="5"/>
  <c r="FC4" i="5"/>
  <c r="FC3" i="5"/>
  <c r="FB5" i="5"/>
  <c r="FB4" i="5"/>
  <c r="FB3" i="5"/>
  <c r="EZ5" i="5"/>
  <c r="EZ4" i="5"/>
  <c r="EZ3" i="5"/>
  <c r="EY5" i="5"/>
  <c r="EY4" i="5"/>
  <c r="EY3" i="5"/>
  <c r="EX5" i="5"/>
  <c r="EX4" i="5"/>
  <c r="EX3" i="5"/>
  <c r="EW3" i="5"/>
  <c r="EW4" i="5"/>
  <c r="EW5" i="5"/>
  <c r="EV5" i="5"/>
  <c r="EV4" i="5"/>
  <c r="EV3" i="5"/>
  <c r="EU5" i="5"/>
  <c r="EU4" i="5"/>
  <c r="EU3" i="5"/>
  <c r="ET5" i="5"/>
  <c r="ET4" i="5"/>
  <c r="ET3" i="5"/>
  <c r="ER5" i="5"/>
  <c r="ER4" i="5"/>
  <c r="ER3" i="5"/>
  <c r="EQ5" i="5"/>
  <c r="EQ4" i="5"/>
  <c r="EQ3" i="5"/>
  <c r="EP5" i="5"/>
  <c r="EP4" i="5"/>
  <c r="EP3" i="5"/>
  <c r="EO5" i="5"/>
  <c r="EO4" i="5"/>
  <c r="EO3" i="5"/>
  <c r="EN5" i="5"/>
  <c r="EN4" i="5"/>
  <c r="EN3" i="5"/>
  <c r="EM5" i="5"/>
  <c r="EM4" i="5"/>
  <c r="EM3" i="5"/>
  <c r="EL5" i="5"/>
  <c r="EL4" i="5"/>
  <c r="EL3" i="5"/>
  <c r="EJ5" i="5"/>
  <c r="EJ4" i="5"/>
  <c r="EJ3" i="5"/>
  <c r="EI5" i="5"/>
  <c r="EI4" i="5"/>
  <c r="EI3" i="5"/>
  <c r="EH5" i="5"/>
  <c r="EH4" i="5"/>
  <c r="EH3" i="5"/>
  <c r="EG5" i="5"/>
  <c r="EG4" i="5"/>
  <c r="EG3" i="5"/>
  <c r="EF5" i="5"/>
  <c r="EF4" i="5"/>
  <c r="EF3" i="5"/>
  <c r="EE5" i="5"/>
  <c r="EE4" i="5"/>
  <c r="EE3" i="5"/>
  <c r="ED5" i="5"/>
  <c r="ED4" i="5"/>
  <c r="ED3" i="5"/>
  <c r="EB5" i="5"/>
  <c r="EB4" i="5"/>
  <c r="EB3" i="5"/>
  <c r="EA5" i="5"/>
  <c r="EA4" i="5"/>
  <c r="EA3" i="5"/>
  <c r="DZ5" i="5"/>
  <c r="DZ4" i="5"/>
  <c r="DZ3" i="5"/>
  <c r="DY5" i="5"/>
  <c r="DY4" i="5"/>
  <c r="DY3" i="5"/>
  <c r="DX5" i="5"/>
  <c r="DX4" i="5"/>
  <c r="DX3" i="5"/>
  <c r="DW5" i="5"/>
  <c r="DW4" i="5"/>
  <c r="DW3" i="5"/>
  <c r="DV5" i="5"/>
  <c r="DV4" i="5"/>
  <c r="DV3" i="5"/>
  <c r="DT5" i="5"/>
  <c r="DT4" i="5"/>
  <c r="DT3" i="5"/>
  <c r="DS5" i="5"/>
  <c r="DS4" i="5"/>
  <c r="DS3" i="5"/>
  <c r="DR5" i="5"/>
  <c r="DR4" i="5"/>
  <c r="DR3" i="5"/>
  <c r="DQ5" i="5"/>
  <c r="DQ4" i="5"/>
  <c r="DQ3" i="5"/>
  <c r="DP5" i="5"/>
  <c r="DP4" i="5"/>
  <c r="DP3" i="5"/>
  <c r="DO5" i="5"/>
  <c r="DO4" i="5"/>
  <c r="DO3" i="5"/>
  <c r="DN5" i="5"/>
  <c r="DN4" i="5"/>
  <c r="DN3" i="5"/>
  <c r="DL5" i="5"/>
  <c r="DL4" i="5"/>
  <c r="DL3" i="5"/>
  <c r="DK5" i="5"/>
  <c r="DK4" i="5"/>
  <c r="DK3" i="5"/>
  <c r="DJ5" i="5"/>
  <c r="DJ4" i="5"/>
  <c r="DJ3" i="5"/>
  <c r="DI5" i="5"/>
  <c r="DI4" i="5"/>
  <c r="DI3" i="5"/>
  <c r="DH5" i="5"/>
  <c r="DH4" i="5"/>
  <c r="DH3" i="5"/>
  <c r="DG5" i="5"/>
  <c r="DG4" i="5"/>
  <c r="DG3" i="5"/>
  <c r="DF5" i="5"/>
  <c r="DF4" i="5"/>
  <c r="DF3" i="5"/>
  <c r="DD5" i="5"/>
  <c r="DD4" i="5"/>
  <c r="DD3" i="5"/>
  <c r="DC5" i="5"/>
  <c r="DC4" i="5"/>
  <c r="DC3" i="5"/>
  <c r="DB5" i="5"/>
  <c r="DB4" i="5"/>
  <c r="DB3" i="5"/>
  <c r="DA5" i="5"/>
  <c r="DA4" i="5"/>
  <c r="DA3" i="5"/>
  <c r="CZ5" i="5"/>
  <c r="CZ4" i="5"/>
  <c r="CZ3" i="5"/>
  <c r="CY5" i="5"/>
  <c r="CY4" i="5"/>
  <c r="CY3" i="5"/>
  <c r="CX4" i="5"/>
  <c r="CX3" i="5"/>
  <c r="CU5" i="5"/>
  <c r="CU4" i="5"/>
  <c r="CT5" i="5"/>
  <c r="CT4" i="5"/>
  <c r="CS5" i="5"/>
  <c r="CS4" i="5"/>
  <c r="CR5" i="5"/>
  <c r="CR4" i="5"/>
  <c r="CQ5" i="5"/>
  <c r="CQ4" i="5"/>
  <c r="CP5" i="5"/>
  <c r="CP4" i="5"/>
  <c r="CV5" i="5"/>
  <c r="CV4" i="5"/>
  <c r="CP3" i="5"/>
  <c r="CQ3" i="5"/>
  <c r="CR3" i="5"/>
  <c r="CS3" i="5"/>
  <c r="CT3" i="5"/>
  <c r="CU3" i="5"/>
  <c r="CV3" i="5"/>
  <c r="CH5" i="5"/>
  <c r="CI5" i="5"/>
  <c r="CJ5" i="5"/>
  <c r="CK5" i="5"/>
  <c r="CL5" i="5"/>
  <c r="CM5" i="5"/>
  <c r="CN5" i="5"/>
  <c r="CI4" i="5"/>
  <c r="CJ4" i="5"/>
  <c r="CK4" i="5"/>
  <c r="CL4" i="5"/>
  <c r="CM4" i="5"/>
  <c r="CN4" i="5"/>
  <c r="CN3" i="5"/>
  <c r="CM3" i="5"/>
  <c r="CL3" i="5"/>
  <c r="CK3" i="5"/>
  <c r="CJ3" i="5"/>
  <c r="CI3" i="5"/>
  <c r="CH4" i="5"/>
  <c r="CH3" i="5"/>
  <c r="BZ5" i="5"/>
  <c r="BZ4" i="5"/>
  <c r="CA5" i="5"/>
  <c r="CA4" i="5"/>
  <c r="CB5" i="5"/>
  <c r="CB4" i="5"/>
  <c r="CC5" i="5"/>
  <c r="CC4" i="5"/>
  <c r="CD5" i="5"/>
  <c r="CD4" i="5"/>
  <c r="CE5" i="5"/>
  <c r="CE4" i="5"/>
  <c r="CF5" i="5"/>
  <c r="CF4" i="5"/>
  <c r="BZ3" i="5"/>
  <c r="CA3" i="5"/>
  <c r="CB3" i="5"/>
  <c r="CC3" i="5"/>
  <c r="CD3" i="5"/>
  <c r="CE3" i="5"/>
  <c r="CF3" i="5"/>
  <c r="BW4" i="5"/>
  <c r="BX5" i="5"/>
  <c r="BX4" i="5"/>
  <c r="BX3" i="5"/>
  <c r="BX2" i="5"/>
  <c r="BW3" i="5"/>
  <c r="BV5" i="5"/>
  <c r="BV4" i="5"/>
  <c r="BV3" i="5"/>
  <c r="BU5" i="5"/>
  <c r="BU4" i="5"/>
  <c r="BU3" i="5"/>
  <c r="BT5" i="5"/>
  <c r="BT4" i="5"/>
  <c r="BT3" i="5"/>
  <c r="BS5" i="5"/>
  <c r="BS4" i="5"/>
  <c r="BS3" i="5"/>
  <c r="BR5" i="5"/>
  <c r="BR4" i="5"/>
  <c r="BR3" i="5"/>
  <c r="BP5" i="5"/>
  <c r="BP4" i="5"/>
  <c r="BP3" i="5"/>
  <c r="BO5" i="5"/>
  <c r="BO4" i="5"/>
  <c r="BO3" i="5"/>
  <c r="BN5" i="5"/>
  <c r="BN4" i="5"/>
  <c r="BN3" i="5"/>
  <c r="BM4" i="5"/>
  <c r="BM3" i="5"/>
  <c r="BL5" i="5"/>
  <c r="BL4" i="5"/>
  <c r="BL3" i="5"/>
  <c r="BK5" i="5"/>
  <c r="BK4" i="5"/>
  <c r="BK3" i="5"/>
  <c r="BJ5" i="5"/>
  <c r="BJ4" i="5"/>
  <c r="BJ3" i="5"/>
  <c r="BH5" i="5"/>
  <c r="BG5" i="5"/>
  <c r="BF5" i="5"/>
  <c r="BE5" i="5"/>
  <c r="BB5" i="5"/>
  <c r="BH4" i="5"/>
  <c r="BG4" i="5"/>
  <c r="BF4" i="5"/>
  <c r="BE4" i="5"/>
  <c r="BD4" i="5"/>
  <c r="BC4" i="5"/>
  <c r="BB4" i="5"/>
  <c r="BH3" i="5"/>
  <c r="BG3" i="5"/>
  <c r="BF3" i="5"/>
  <c r="BE3" i="5"/>
  <c r="BD3" i="5"/>
  <c r="BC3" i="5"/>
  <c r="BB3" i="5"/>
  <c r="AZ5" i="5"/>
  <c r="AY5" i="5"/>
  <c r="AX5" i="5"/>
  <c r="AW5" i="5"/>
  <c r="AV5" i="5"/>
  <c r="AU5" i="5"/>
  <c r="AT5" i="5"/>
  <c r="AT4" i="5"/>
  <c r="AU4" i="5"/>
  <c r="AV4" i="5"/>
  <c r="AW4" i="5"/>
  <c r="AX4" i="5"/>
  <c r="AY4" i="5"/>
  <c r="AZ4" i="5"/>
  <c r="AZ3" i="5"/>
  <c r="AY3" i="5"/>
  <c r="AX3" i="5"/>
  <c r="AW3" i="5"/>
  <c r="AV3" i="5"/>
  <c r="AU3" i="5"/>
  <c r="AT3" i="5"/>
  <c r="AR5" i="5"/>
  <c r="AR4" i="5"/>
  <c r="AQ5" i="5"/>
  <c r="AQ4" i="5"/>
  <c r="AP5" i="5"/>
  <c r="AP4" i="5"/>
  <c r="AO5" i="5"/>
  <c r="AO4" i="5"/>
  <c r="AN5" i="5"/>
  <c r="AN4" i="5"/>
  <c r="AM5" i="5"/>
  <c r="AM4" i="5"/>
  <c r="AL5" i="5"/>
  <c r="AL4" i="5"/>
  <c r="AL3" i="5"/>
  <c r="AM3" i="5"/>
  <c r="AN3" i="5"/>
  <c r="AO3" i="5"/>
  <c r="AP3" i="5"/>
  <c r="AQ3" i="5"/>
  <c r="AR3" i="5"/>
  <c r="AJ5" i="5"/>
  <c r="AI5" i="5"/>
  <c r="AH5" i="5"/>
  <c r="AG5" i="5"/>
  <c r="AF5" i="5"/>
  <c r="AE5" i="5"/>
  <c r="AD5" i="5"/>
  <c r="AJ4" i="5"/>
  <c r="AI4" i="5"/>
  <c r="AH4" i="5"/>
  <c r="AG4" i="5"/>
  <c r="AF4" i="5"/>
  <c r="AE4" i="5"/>
  <c r="AD4" i="5"/>
  <c r="AJ3" i="5"/>
  <c r="AI3" i="5"/>
  <c r="AH3" i="5"/>
  <c r="AG3" i="5"/>
  <c r="AF3" i="5"/>
  <c r="AE3" i="5"/>
  <c r="AD3" i="5"/>
  <c r="AB5" i="5"/>
  <c r="AA5" i="5"/>
  <c r="X5" i="5"/>
  <c r="W5" i="5"/>
  <c r="V5" i="5"/>
  <c r="AB4" i="5"/>
  <c r="AA4" i="5"/>
  <c r="Z4" i="5"/>
  <c r="Y5" i="5"/>
  <c r="Y4" i="5"/>
  <c r="X4" i="5"/>
  <c r="W4" i="5"/>
  <c r="V4" i="5"/>
  <c r="AB3" i="5"/>
  <c r="AA3" i="5"/>
  <c r="Z3" i="5"/>
  <c r="Y3" i="5"/>
  <c r="X3" i="5"/>
  <c r="W3" i="5"/>
  <c r="V3" i="5"/>
  <c r="T5" i="5"/>
  <c r="T4" i="5"/>
  <c r="T3" i="5"/>
  <c r="S5" i="5"/>
  <c r="S4" i="5"/>
  <c r="S3" i="5"/>
  <c r="R5" i="5"/>
  <c r="R4" i="5"/>
  <c r="R3" i="5"/>
  <c r="Q5" i="5"/>
  <c r="Q4" i="5"/>
  <c r="Q3" i="5"/>
  <c r="P5" i="5"/>
  <c r="P4" i="5"/>
  <c r="P3" i="5"/>
  <c r="O5" i="5"/>
  <c r="O4" i="5"/>
  <c r="O3" i="5"/>
  <c r="N2" i="5"/>
  <c r="N5" i="5"/>
  <c r="N4" i="5"/>
  <c r="N3" i="5"/>
  <c r="L5" i="5"/>
  <c r="L4" i="5"/>
  <c r="L3" i="5"/>
  <c r="K3" i="5"/>
  <c r="K4" i="5"/>
  <c r="K5" i="5"/>
  <c r="J5" i="5"/>
  <c r="J4" i="5"/>
  <c r="J3" i="5"/>
  <c r="I5" i="5"/>
  <c r="I4" i="5"/>
  <c r="I3" i="5"/>
  <c r="H5" i="5"/>
  <c r="H4" i="5"/>
  <c r="H3" i="5"/>
  <c r="G4" i="5"/>
  <c r="G3" i="5"/>
  <c r="L2" i="5"/>
  <c r="K2" i="5"/>
  <c r="J2" i="5"/>
  <c r="I2" i="5"/>
  <c r="H2" i="5"/>
  <c r="G2" i="5"/>
  <c r="FB2" i="5" l="1"/>
  <c r="AD2" i="5"/>
  <c r="AB2" i="5"/>
  <c r="C5" i="5" l="1"/>
  <c r="C4" i="5"/>
  <c r="C3" i="5"/>
  <c r="B5" i="5"/>
  <c r="B4" i="5"/>
  <c r="B3" i="5"/>
  <c r="JH2" i="5" l="1"/>
  <c r="JG2" i="5"/>
  <c r="JF2" i="5"/>
  <c r="JE2" i="5"/>
  <c r="JD2" i="5"/>
  <c r="JC2" i="5"/>
  <c r="JB2" i="5"/>
  <c r="IZ2" i="5"/>
  <c r="IY2" i="5"/>
  <c r="IX2" i="5"/>
  <c r="IW2" i="5"/>
  <c r="IV2" i="5"/>
  <c r="IU2" i="5"/>
  <c r="IT2" i="5"/>
  <c r="IR2" i="5"/>
  <c r="IQ2" i="5"/>
  <c r="IP2" i="5"/>
  <c r="IO2" i="5"/>
  <c r="IN2" i="5"/>
  <c r="IM2" i="5"/>
  <c r="IL2" i="5"/>
  <c r="IJ2" i="5"/>
  <c r="II2" i="5"/>
  <c r="IH2" i="5"/>
  <c r="IG2" i="5"/>
  <c r="IF2" i="5"/>
  <c r="IE2" i="5"/>
  <c r="ID2" i="5"/>
  <c r="IB2" i="5"/>
  <c r="IA2" i="5"/>
  <c r="HZ2" i="5"/>
  <c r="HY2" i="5"/>
  <c r="HX2" i="5"/>
  <c r="HW2" i="5"/>
  <c r="HT2" i="5"/>
  <c r="HS2" i="5"/>
  <c r="HR2" i="5"/>
  <c r="HQ2" i="5"/>
  <c r="HP2" i="5"/>
  <c r="HO2" i="5"/>
  <c r="HN2" i="5"/>
  <c r="HL2" i="5"/>
  <c r="HK2" i="5"/>
  <c r="HJ2" i="5"/>
  <c r="HI2" i="5"/>
  <c r="HH2" i="5"/>
  <c r="HG2" i="5"/>
  <c r="HF2" i="5"/>
  <c r="HD2" i="5"/>
  <c r="HC2" i="5"/>
  <c r="HB2" i="5"/>
  <c r="HA2" i="5"/>
  <c r="GZ2" i="5"/>
  <c r="GY2" i="5"/>
  <c r="GX2" i="5"/>
  <c r="GP2" i="5"/>
  <c r="GV2" i="5"/>
  <c r="GU2" i="5"/>
  <c r="GT2" i="5"/>
  <c r="GS2" i="5"/>
  <c r="GR2" i="5"/>
  <c r="GN2" i="5"/>
  <c r="GM2" i="5"/>
  <c r="GL2" i="5"/>
  <c r="GK2" i="5"/>
  <c r="GJ2" i="5"/>
  <c r="GI2" i="5"/>
  <c r="GH2" i="5"/>
  <c r="GF2" i="5"/>
  <c r="GE2" i="5"/>
  <c r="GD2" i="5"/>
  <c r="GC2" i="5"/>
  <c r="GB2" i="5"/>
  <c r="GA2" i="5"/>
  <c r="FZ2" i="5"/>
  <c r="FX2" i="5"/>
  <c r="FW2" i="5"/>
  <c r="FV2" i="5"/>
  <c r="FU2" i="5"/>
  <c r="FT2" i="5"/>
  <c r="FS2" i="5"/>
  <c r="FR2" i="5"/>
  <c r="FP2" i="5"/>
  <c r="FO2" i="5"/>
  <c r="FN2" i="5"/>
  <c r="FM2" i="5"/>
  <c r="FL2" i="5"/>
  <c r="FK2" i="5"/>
  <c r="FJ2" i="5"/>
  <c r="FH2" i="5"/>
  <c r="FG2" i="5"/>
  <c r="FF2" i="5"/>
  <c r="FE2" i="5"/>
  <c r="FD2" i="5"/>
  <c r="FC2" i="5"/>
  <c r="EZ2" i="5"/>
  <c r="EY2" i="5"/>
  <c r="EX2" i="5"/>
  <c r="EW2" i="5"/>
  <c r="EV2" i="5"/>
  <c r="EU2" i="5"/>
  <c r="ET2" i="5"/>
  <c r="ER2" i="5"/>
  <c r="EQ2" i="5"/>
  <c r="EP2" i="5"/>
  <c r="EO2" i="5"/>
  <c r="EN2" i="5"/>
  <c r="EM2" i="5"/>
  <c r="EL2" i="5"/>
  <c r="EJ2" i="5"/>
  <c r="EI2" i="5"/>
  <c r="EH2" i="5"/>
  <c r="EG2" i="5"/>
  <c r="EF2" i="5"/>
  <c r="EE2" i="5"/>
  <c r="ED2" i="5"/>
  <c r="EB2" i="5"/>
  <c r="EA2" i="5"/>
  <c r="DZ2" i="5"/>
  <c r="DY2" i="5"/>
  <c r="DX2" i="5"/>
  <c r="DW2" i="5"/>
  <c r="DV2" i="5"/>
  <c r="DT2" i="5"/>
  <c r="DS2" i="5"/>
  <c r="DR2" i="5"/>
  <c r="DQ2" i="5"/>
  <c r="DP2" i="5"/>
  <c r="DO2" i="5"/>
  <c r="DN2" i="5"/>
  <c r="DF2" i="5"/>
  <c r="DL2" i="5"/>
  <c r="DK2" i="5"/>
  <c r="DJ2" i="5"/>
  <c r="DI2" i="5"/>
  <c r="DH2" i="5"/>
  <c r="DG2" i="5"/>
  <c r="DD2" i="5"/>
  <c r="DC2" i="5"/>
  <c r="DB2" i="5"/>
  <c r="DA2" i="5"/>
  <c r="CZ2" i="5"/>
  <c r="CY2" i="5"/>
  <c r="CX2" i="5"/>
  <c r="CP2" i="5"/>
  <c r="CV2" i="5"/>
  <c r="CU2" i="5"/>
  <c r="CT2" i="5"/>
  <c r="CS2" i="5"/>
  <c r="CR2" i="5"/>
  <c r="CQ2" i="5"/>
  <c r="CN2" i="5"/>
  <c r="CM2" i="5"/>
  <c r="CL2" i="5"/>
  <c r="CK2" i="5"/>
  <c r="CJ2" i="5"/>
  <c r="CI2" i="5"/>
  <c r="CH2" i="5"/>
  <c r="CF2" i="5"/>
  <c r="CE2" i="5"/>
  <c r="CD2" i="5"/>
  <c r="CC2" i="5"/>
  <c r="CB2" i="5"/>
  <c r="CA2" i="5"/>
  <c r="BZ2" i="5"/>
  <c r="BW2" i="5"/>
  <c r="BV2" i="5"/>
  <c r="BU2" i="5"/>
  <c r="BT2" i="5"/>
  <c r="BS2" i="5"/>
  <c r="BR2" i="5"/>
  <c r="BP2" i="5"/>
  <c r="BO2" i="5"/>
  <c r="BN2" i="5"/>
  <c r="BM2" i="5"/>
  <c r="BL2" i="5"/>
  <c r="BK2" i="5"/>
  <c r="BJ2" i="5"/>
  <c r="BH2" i="5"/>
  <c r="BG2" i="5"/>
  <c r="BF2" i="5"/>
  <c r="BE2" i="5"/>
  <c r="BD2" i="5"/>
  <c r="BC2" i="5"/>
  <c r="BB2" i="5"/>
  <c r="AZ2" i="5"/>
  <c r="AY2" i="5"/>
  <c r="AX2" i="5"/>
  <c r="AW2" i="5"/>
  <c r="AV2" i="5"/>
  <c r="AU2" i="5"/>
  <c r="AT2" i="5"/>
  <c r="AR2" i="5"/>
  <c r="AQ2" i="5"/>
  <c r="AP2" i="5"/>
  <c r="AO2" i="5"/>
  <c r="AN2" i="5"/>
  <c r="AM2" i="5"/>
  <c r="AL2" i="5"/>
  <c r="AJ2" i="5"/>
  <c r="AI2" i="5"/>
  <c r="AH2" i="5"/>
  <c r="AG2" i="5"/>
  <c r="AF2" i="5"/>
  <c r="AE2" i="5"/>
  <c r="AA2" i="5"/>
  <c r="Z2" i="5"/>
  <c r="Y2" i="5"/>
  <c r="X2" i="5"/>
  <c r="W2" i="5"/>
  <c r="V2" i="5"/>
  <c r="T2" i="5"/>
  <c r="S2" i="5"/>
  <c r="R2" i="5"/>
  <c r="Q2" i="5"/>
  <c r="P2" i="5"/>
  <c r="O2" i="5"/>
</calcChain>
</file>

<file path=xl/sharedStrings.xml><?xml version="1.0" encoding="utf-8"?>
<sst xmlns="http://schemas.openxmlformats.org/spreadsheetml/2006/main" count="1660" uniqueCount="359">
  <si>
    <t xml:space="preserve">NOM EMPRESA </t>
  </si>
  <si>
    <t>Codi</t>
  </si>
  <si>
    <t>Nom de l’indicador</t>
  </si>
  <si>
    <t>Unitat mesura</t>
  </si>
  <si>
    <t xml:space="preserve">Productivitat </t>
  </si>
  <si>
    <t>C001</t>
  </si>
  <si>
    <t>Nombre d’empreses que reben ajudes</t>
  </si>
  <si>
    <t xml:space="preserve">Empresa </t>
  </si>
  <si>
    <t>C002</t>
  </si>
  <si>
    <t>Nombre d’empreses que reben subvencions</t>
  </si>
  <si>
    <t>Empresa</t>
  </si>
  <si>
    <t>C006</t>
  </si>
  <si>
    <t xml:space="preserve">Inversió privada que acompanya a l’ajuda pública de les empreses </t>
  </si>
  <si>
    <t>Euros</t>
  </si>
  <si>
    <t>C026</t>
  </si>
  <si>
    <t xml:space="preserve">Nombre d'empreses que cooperen amb centres de recerca </t>
  </si>
  <si>
    <t>Nombre</t>
  </si>
  <si>
    <t>E021H</t>
  </si>
  <si>
    <t>Investigadors-any (homes) participant en el projecte</t>
  </si>
  <si>
    <t>Investigadors</t>
  </si>
  <si>
    <t>E021D</t>
  </si>
  <si>
    <t>Investigadores-any (dones) participant en el projecte</t>
  </si>
  <si>
    <t>Investigadores</t>
  </si>
  <si>
    <t>E021</t>
  </si>
  <si>
    <t>Investigadors-any (total) participant en el projecte</t>
  </si>
  <si>
    <t xml:space="preserve">Financer </t>
  </si>
  <si>
    <t>F002</t>
  </si>
  <si>
    <t>Import total de la despesa subvencionable anotada al sistema de l'Autoritat de Certificació i certificat segons art. 126.c de RDC</t>
  </si>
  <si>
    <t>RIS3-02</t>
  </si>
  <si>
    <t>Inversió pública en R+D+I</t>
  </si>
  <si>
    <t>RIS3-04</t>
  </si>
  <si>
    <t>Inversió privada en R+D+I</t>
  </si>
  <si>
    <t>RIS3-05</t>
  </si>
  <si>
    <t>Investigadors que participen en el projecte/total</t>
  </si>
  <si>
    <t>RIS3-05/1</t>
  </si>
  <si>
    <t>Investigadors que participen en el projecte/homes</t>
  </si>
  <si>
    <t>RIS3-05/2</t>
  </si>
  <si>
    <t>Investigadors que participen en el projecte/dones</t>
  </si>
  <si>
    <t>RIS3-06</t>
  </si>
  <si>
    <t>Empreses privades que participen en el projecte</t>
  </si>
  <si>
    <t>RIS3-07</t>
  </si>
  <si>
    <t>Empreses públiques que participen en el projecte</t>
  </si>
  <si>
    <t>RIS3-09</t>
  </si>
  <si>
    <t>Centres tecnològics que participen en el projecte com a subcontractats</t>
  </si>
  <si>
    <t>RIS3-11</t>
  </si>
  <si>
    <t>Universitats que participen en el projecte com a subcontractades</t>
  </si>
  <si>
    <t>RIS3-13</t>
  </si>
  <si>
    <t>Centres de recerca que participen en el projecte com a subcontractats</t>
  </si>
  <si>
    <t>RIS3-15</t>
  </si>
  <si>
    <t>Empreses que utilitzen o contracten les infraestructures i l'equipament cofinançats amb FEDER</t>
  </si>
  <si>
    <t>RIS3-17</t>
  </si>
  <si>
    <t>Empreses derivades (spin off) i altres empreses de base tecnològica creades en el marc del projecte</t>
  </si>
  <si>
    <t>RIS3-19</t>
  </si>
  <si>
    <t>Patents sol·licitades o registrades pels agents d'R+D+I i les empreses relacionades amb el projecte</t>
  </si>
  <si>
    <t>RIS3-21</t>
  </si>
  <si>
    <t>Marques creades o registrades pels agents d'R+D+I i les empreses en el marc  del projecte</t>
  </si>
  <si>
    <t>RIS3-23</t>
  </si>
  <si>
    <t xml:space="preserve">Empreses que innoven en el marc del projecte </t>
  </si>
  <si>
    <t>RIS3-25</t>
  </si>
  <si>
    <t>Llocs de treball creats vinculats amb el projecte</t>
  </si>
  <si>
    <t>RIS3-27</t>
  </si>
  <si>
    <t>Persones que reben formació en el marc dels projectes de RIS3CAT</t>
  </si>
  <si>
    <t>RIS3-29</t>
  </si>
  <si>
    <t>Empreses que incrementen els ingressos arran de la participació en el projecte</t>
  </si>
  <si>
    <t>RIS3-31</t>
  </si>
  <si>
    <t>Empreses que incrementen les exportacions arran de la participació en el projecte</t>
  </si>
  <si>
    <t>RIS3-33</t>
  </si>
  <si>
    <t>Empreses que tenen noves oportunitats de negoci en l'àmbit internacional arran de la participació en el projecte</t>
  </si>
  <si>
    <t>RIS3-35</t>
  </si>
  <si>
    <t>Empreses que incrementen la productivitat (redueixen costos) arran de la participació en el projecte</t>
  </si>
  <si>
    <t>RIS3-37</t>
  </si>
  <si>
    <t>Empreses que participen en el projecte i han introduït innovacions per reduir el consum d'aigua</t>
  </si>
  <si>
    <t>RIS3-39</t>
  </si>
  <si>
    <t>Empreses que participen en el projecte que han introduït innovacions per reduir el consum d'energia</t>
  </si>
  <si>
    <t>RIS3-41</t>
  </si>
  <si>
    <t>Empreses que participen en el projecte que han introduït innovacions per reduir les emissions de CO2</t>
  </si>
  <si>
    <t>RIS3-43</t>
  </si>
  <si>
    <t>Empreses que participen en el projecte que han introduït innovacions per reduir els residus (reciclatge i ecodisseny)</t>
  </si>
  <si>
    <t>&lt;codiexp&gt;</t>
  </si>
  <si>
    <t>&lt;nom&gt;</t>
  </si>
  <si>
    <t xml:space="preserve">NIF </t>
  </si>
  <si>
    <t xml:space="preserve">&lt;nif&gt; </t>
  </si>
  <si>
    <t xml:space="preserve">CODI EXPEDIENT </t>
  </si>
  <si>
    <t xml:space="preserve">CODI PARTICIPANT </t>
  </si>
  <si>
    <t xml:space="preserve"> JUSTIFICACIÓ</t>
  </si>
  <si>
    <t>Productivitat</t>
  </si>
  <si>
    <t>Justificació Parcial</t>
  </si>
  <si>
    <t xml:space="preserve">Justificació Total </t>
  </si>
  <si>
    <t xml:space="preserve">Justificació Parcial Final </t>
  </si>
  <si>
    <t>INDICADORS RIS3CAT</t>
  </si>
  <si>
    <t>INDICADORS FEDER</t>
  </si>
  <si>
    <t>INDICADORS DELS PROJECTES COFINANÇATS AMB FONS FEDER</t>
  </si>
  <si>
    <t>&lt;codiparticipant&gt;</t>
  </si>
  <si>
    <t xml:space="preserve">codi particpant </t>
  </si>
  <si>
    <t>CO01_2017</t>
  </si>
  <si>
    <t>CO01_2018</t>
  </si>
  <si>
    <t>CO01_2019</t>
  </si>
  <si>
    <t>CO01_2020</t>
  </si>
  <si>
    <t>CO01_2021</t>
  </si>
  <si>
    <t>CO01_2022</t>
  </si>
  <si>
    <t>CO01_2023</t>
  </si>
  <si>
    <t>CO02_2017</t>
  </si>
  <si>
    <t>CO02_2018</t>
  </si>
  <si>
    <t>CO02_2019</t>
  </si>
  <si>
    <t>CO02_2020</t>
  </si>
  <si>
    <t>CO02_2021</t>
  </si>
  <si>
    <t>CO02_2022</t>
  </si>
  <si>
    <t>CO02_2023</t>
  </si>
  <si>
    <t>CO06_2017</t>
  </si>
  <si>
    <t>CO06_2018</t>
  </si>
  <si>
    <t>CO06_2019</t>
  </si>
  <si>
    <t>CO06_2020</t>
  </si>
  <si>
    <t>CO06_2021</t>
  </si>
  <si>
    <t>CO06_2022</t>
  </si>
  <si>
    <t>CO06_2023</t>
  </si>
  <si>
    <t>CO26_2017</t>
  </si>
  <si>
    <t>CO26_2018</t>
  </si>
  <si>
    <t>CO26_2019</t>
  </si>
  <si>
    <t>CO26_2020</t>
  </si>
  <si>
    <t>CO26_2021</t>
  </si>
  <si>
    <t>CO26_2022</t>
  </si>
  <si>
    <t>CO26_2023</t>
  </si>
  <si>
    <t>E021H_2017</t>
  </si>
  <si>
    <t>E021H_2018</t>
  </si>
  <si>
    <t>E021H_2019</t>
  </si>
  <si>
    <t>E021H_2020</t>
  </si>
  <si>
    <t>E021H_2021</t>
  </si>
  <si>
    <t>E021H_2022</t>
  </si>
  <si>
    <t>E021H_2023</t>
  </si>
  <si>
    <t>E021D_2017</t>
  </si>
  <si>
    <t>E021D_2018</t>
  </si>
  <si>
    <t>E021D_2019</t>
  </si>
  <si>
    <t>E021D_2020</t>
  </si>
  <si>
    <t>E021D_2021</t>
  </si>
  <si>
    <t>E021D_2022</t>
  </si>
  <si>
    <t>E021D_2023</t>
  </si>
  <si>
    <t>E021_2017</t>
  </si>
  <si>
    <t>E021_2018</t>
  </si>
  <si>
    <t>E021_2019</t>
  </si>
  <si>
    <t>E021_2020</t>
  </si>
  <si>
    <t>E021_2021</t>
  </si>
  <si>
    <t>E021_2022</t>
  </si>
  <si>
    <t>E021_2023</t>
  </si>
  <si>
    <t>F002_2017</t>
  </si>
  <si>
    <t>F002_2018</t>
  </si>
  <si>
    <t>F002_2019</t>
  </si>
  <si>
    <t>F002_2020</t>
  </si>
  <si>
    <t>F002_2021</t>
  </si>
  <si>
    <t>F002_2022</t>
  </si>
  <si>
    <t>F002_2023</t>
  </si>
  <si>
    <t>RIS3-02_2017</t>
  </si>
  <si>
    <t>RIS3-02_2018</t>
  </si>
  <si>
    <t>RIS3-02_2019</t>
  </si>
  <si>
    <t>RIS3-02_2020</t>
  </si>
  <si>
    <t>RIS3-02_2021</t>
  </si>
  <si>
    <t>RIS3-02_2022</t>
  </si>
  <si>
    <t>RIS3-02_2023</t>
  </si>
  <si>
    <t>RIS3-04_2017</t>
  </si>
  <si>
    <t>RIS3-04_2018</t>
  </si>
  <si>
    <t>RIS3-04_2019</t>
  </si>
  <si>
    <t>RIS3-04_2020</t>
  </si>
  <si>
    <t>RIS3-04_2021</t>
  </si>
  <si>
    <t>RIS3-04_2022</t>
  </si>
  <si>
    <t>RIS3-04_2023</t>
  </si>
  <si>
    <t>RIS3-05_2017</t>
  </si>
  <si>
    <t>RIS3-05_2018</t>
  </si>
  <si>
    <t>RIS3-05_2019</t>
  </si>
  <si>
    <t>RIS3-05_2020</t>
  </si>
  <si>
    <t>RIS3-05_2021</t>
  </si>
  <si>
    <t>RIS3-05_2022</t>
  </si>
  <si>
    <t>RIS3-05_2023</t>
  </si>
  <si>
    <t>RIS3-05/1_2017</t>
  </si>
  <si>
    <t>RIS3-05/1_2018</t>
  </si>
  <si>
    <t>RIS3-05/1_2019</t>
  </si>
  <si>
    <t>RIS3-05/1_2020</t>
  </si>
  <si>
    <t>RIS3-05/1_2021</t>
  </si>
  <si>
    <t>RIS3-05/1_2022</t>
  </si>
  <si>
    <t>RIS3-05/1_2023</t>
  </si>
  <si>
    <t>RIS3-05/2_2017</t>
  </si>
  <si>
    <t>RIS3-05/2_2018</t>
  </si>
  <si>
    <t>RIS3-05/2_2019</t>
  </si>
  <si>
    <t>RIS3-05/2_2020</t>
  </si>
  <si>
    <t>RIS3-05/2_2021</t>
  </si>
  <si>
    <t>RIS3-05/2_2022</t>
  </si>
  <si>
    <t>RIS3-05/2_2023</t>
  </si>
  <si>
    <t>RIS3-06_2017</t>
  </si>
  <si>
    <t>RIS3-06_2018</t>
  </si>
  <si>
    <t>RIS3-06_2019</t>
  </si>
  <si>
    <t>RIS3-06_2020</t>
  </si>
  <si>
    <t>RIS3-06_2021</t>
  </si>
  <si>
    <t>RIS3-06_2022</t>
  </si>
  <si>
    <t>RIS3-06_2023</t>
  </si>
  <si>
    <t>RIS3-07_2017</t>
  </si>
  <si>
    <t>RIS3-07_2018</t>
  </si>
  <si>
    <t>RIS3-07_2019</t>
  </si>
  <si>
    <t>RIS3-07_2020</t>
  </si>
  <si>
    <t>RIS3-07_2021</t>
  </si>
  <si>
    <t>RIS3-07_2022</t>
  </si>
  <si>
    <t>RIS3-07_2023</t>
  </si>
  <si>
    <t>RIS3-09_2017</t>
  </si>
  <si>
    <t>RIS3-09_2018</t>
  </si>
  <si>
    <t>RIS3-09_2019</t>
  </si>
  <si>
    <t>RIS3-09_2020</t>
  </si>
  <si>
    <t>RIS3-09_2021</t>
  </si>
  <si>
    <t>RIS3-09_2022</t>
  </si>
  <si>
    <t>RIS3-09_2023</t>
  </si>
  <si>
    <t>RIS3-11_2017</t>
  </si>
  <si>
    <t>RIS3-11_2018</t>
  </si>
  <si>
    <t>RIS3-11_2019</t>
  </si>
  <si>
    <t>RIS3-11_2020</t>
  </si>
  <si>
    <t>RIS3-11_2021</t>
  </si>
  <si>
    <t>RIS3-11_2022</t>
  </si>
  <si>
    <t>RIS3-11_2023</t>
  </si>
  <si>
    <t>RIS3-13_2017</t>
  </si>
  <si>
    <t>RIS3-13_2018</t>
  </si>
  <si>
    <t>RIS3-13_2019</t>
  </si>
  <si>
    <t>RIS3-13_2020</t>
  </si>
  <si>
    <t>RIS3-13_2021</t>
  </si>
  <si>
    <t>RIS3-13_2022</t>
  </si>
  <si>
    <t>RIS3-13_2023</t>
  </si>
  <si>
    <t>RIS3-15_2017</t>
  </si>
  <si>
    <t>RIS3-15_2018</t>
  </si>
  <si>
    <t>RIS3-15_2019</t>
  </si>
  <si>
    <t>RIS3-15_2020</t>
  </si>
  <si>
    <t>RIS3-15_2021</t>
  </si>
  <si>
    <t>RIS3-15_2022</t>
  </si>
  <si>
    <t>RIS3-15_2023</t>
  </si>
  <si>
    <t>RIS3-17_2017</t>
  </si>
  <si>
    <t>RIS3-17_2018</t>
  </si>
  <si>
    <t>RIS3-17_2019</t>
  </si>
  <si>
    <t>RIS3-17_2020</t>
  </si>
  <si>
    <t>RIS3-17_2021</t>
  </si>
  <si>
    <t>RIS3-17_2022</t>
  </si>
  <si>
    <t>RIS3-17_2023</t>
  </si>
  <si>
    <t>RIS3-19_2017</t>
  </si>
  <si>
    <t>RIS3-19_2018</t>
  </si>
  <si>
    <t>RIS3-19_2019</t>
  </si>
  <si>
    <t>RIS3-19_2020</t>
  </si>
  <si>
    <t>RIS3-19_2021</t>
  </si>
  <si>
    <t>RIS3-19_2022</t>
  </si>
  <si>
    <t>RIS3-19_2023</t>
  </si>
  <si>
    <t>RIS3-21_2017</t>
  </si>
  <si>
    <t>RIS3-21_2018</t>
  </si>
  <si>
    <t>RIS3-21_2019</t>
  </si>
  <si>
    <t>RIS3-21_2020</t>
  </si>
  <si>
    <t>RIS3-21_2021</t>
  </si>
  <si>
    <t>RIS3-21_2022</t>
  </si>
  <si>
    <t>RIS3-21_2023</t>
  </si>
  <si>
    <t>RIS3-23_2017</t>
  </si>
  <si>
    <t>RIS3-23_2018</t>
  </si>
  <si>
    <t>RIS3-23_2019</t>
  </si>
  <si>
    <t>RIS3-23_2020</t>
  </si>
  <si>
    <t>RIS3-23_2021</t>
  </si>
  <si>
    <t>RIS3-23_2022</t>
  </si>
  <si>
    <t>RIS3-23_2023</t>
  </si>
  <si>
    <t>RIS3-25_2017</t>
  </si>
  <si>
    <t>RIS3-25_2018</t>
  </si>
  <si>
    <t>RIS3-25_2019</t>
  </si>
  <si>
    <t>RIS3-25_2020</t>
  </si>
  <si>
    <t>RIS3-25_2021</t>
  </si>
  <si>
    <t>RIS3-25_2022</t>
  </si>
  <si>
    <t>RIS3-25_2023</t>
  </si>
  <si>
    <t>RIS3-27_2017</t>
  </si>
  <si>
    <t>RIS3-27_2018</t>
  </si>
  <si>
    <t>RIS3-27_2019</t>
  </si>
  <si>
    <t>RIS3-27_2020</t>
  </si>
  <si>
    <t>RIS3-27_2021</t>
  </si>
  <si>
    <t>RIS3-27_2022</t>
  </si>
  <si>
    <t>RIS3-27_2023</t>
  </si>
  <si>
    <t>RIS3-29_2017</t>
  </si>
  <si>
    <t>RIS3-29_2018</t>
  </si>
  <si>
    <t>RIS3-29_2019</t>
  </si>
  <si>
    <t>RIS3-29_2020</t>
  </si>
  <si>
    <t>RIS3-29_2021</t>
  </si>
  <si>
    <t>RIS3-29_2022</t>
  </si>
  <si>
    <t>RIS3-29_2023</t>
  </si>
  <si>
    <t>RIS3-31_2017</t>
  </si>
  <si>
    <t>RIS3-31_2018</t>
  </si>
  <si>
    <t>RIS3-31_2019</t>
  </si>
  <si>
    <t>RIS3-31_2020</t>
  </si>
  <si>
    <t>RIS3-31_2021</t>
  </si>
  <si>
    <t>RIS3-31_2022</t>
  </si>
  <si>
    <t>RIS3-31_2023</t>
  </si>
  <si>
    <t>RIS3-33_2017</t>
  </si>
  <si>
    <t>RIS3-33_2018</t>
  </si>
  <si>
    <t>RIS3-33_2019</t>
  </si>
  <si>
    <t>RIS3-33_2020</t>
  </si>
  <si>
    <t>RIS3-33_2021</t>
  </si>
  <si>
    <t>RIS3-33_2022</t>
  </si>
  <si>
    <t>RIS3-33_2023</t>
  </si>
  <si>
    <t>RIS3-35_2017</t>
  </si>
  <si>
    <t>RIS3-35_2018</t>
  </si>
  <si>
    <t>RIS3-35_2019</t>
  </si>
  <si>
    <t>RIS3-35_2020</t>
  </si>
  <si>
    <t>RIS3-35_2021</t>
  </si>
  <si>
    <t>RIS3-35_2022</t>
  </si>
  <si>
    <t>RIS3-35_2023</t>
  </si>
  <si>
    <t>RIS3-37_2017</t>
  </si>
  <si>
    <t>RIS3-37_2018</t>
  </si>
  <si>
    <t>RIS3-37_2019</t>
  </si>
  <si>
    <t>RIS3-37_2020</t>
  </si>
  <si>
    <t>RIS3-37_2021</t>
  </si>
  <si>
    <t>RIS3-37_2022</t>
  </si>
  <si>
    <t>RIS3-37_2023</t>
  </si>
  <si>
    <t>RIS3-39_2017</t>
  </si>
  <si>
    <t>RIS3-39_2018</t>
  </si>
  <si>
    <t>RIS3-39_2019</t>
  </si>
  <si>
    <t>RIS3-39_2020</t>
  </si>
  <si>
    <t>RIS3-39_2021</t>
  </si>
  <si>
    <t>RIS3-39_2022</t>
  </si>
  <si>
    <t>RIS3-39_2023</t>
  </si>
  <si>
    <t>RIS3-41_2017</t>
  </si>
  <si>
    <t>RIS3-41_2018</t>
  </si>
  <si>
    <t>RIS3-41_2019</t>
  </si>
  <si>
    <t>RIS3-41_2020</t>
  </si>
  <si>
    <t>RIS3-41_2021</t>
  </si>
  <si>
    <t>RIS3-41_2022</t>
  </si>
  <si>
    <t>RIS3-41_2023</t>
  </si>
  <si>
    <t>RIS3-43_2017</t>
  </si>
  <si>
    <t>RIS3-43_2018</t>
  </si>
  <si>
    <t>RIS3-43_2019</t>
  </si>
  <si>
    <t>RIS3-43_2020</t>
  </si>
  <si>
    <t>RIS3-43_2021</t>
  </si>
  <si>
    <t>RIS3-43_2022</t>
  </si>
  <si>
    <t>RIS3-43_2023</t>
  </si>
  <si>
    <t>CODI EXPEDIENT</t>
  </si>
  <si>
    <t>CO01_2016</t>
  </si>
  <si>
    <t>CO06_2016</t>
  </si>
  <si>
    <t>CO26_2016</t>
  </si>
  <si>
    <t>E021H_2016</t>
  </si>
  <si>
    <t>E021D_2016</t>
  </si>
  <si>
    <t>E021_2016</t>
  </si>
  <si>
    <t>F002_2016</t>
  </si>
  <si>
    <t>RIS3-02_2016</t>
  </si>
  <si>
    <t>RIS3-04_2016</t>
  </si>
  <si>
    <t>RIS3-05_2016</t>
  </si>
  <si>
    <t>RIS3-05/1_2016</t>
  </si>
  <si>
    <t>RIS3-05/2_2016</t>
  </si>
  <si>
    <t>RIS3-06_2016</t>
  </si>
  <si>
    <t>RIS3-07_2016</t>
  </si>
  <si>
    <t>RIS3-09_2016</t>
  </si>
  <si>
    <t>RIS3-11_2016</t>
  </si>
  <si>
    <t>RIS3-13_2016</t>
  </si>
  <si>
    <t>RIS3-15_2016</t>
  </si>
  <si>
    <t>RIS3-17_2016</t>
  </si>
  <si>
    <t>RIS3-19_2016</t>
  </si>
  <si>
    <t>RIS3-21_2016</t>
  </si>
  <si>
    <t>RIS3-23_2016</t>
  </si>
  <si>
    <t>RIS3-25_2016</t>
  </si>
  <si>
    <t>RIS3-27_2016</t>
  </si>
  <si>
    <t>RIS3-29_2016</t>
  </si>
  <si>
    <t>RIS3-31_2016</t>
  </si>
  <si>
    <t>RIS3-33_2016</t>
  </si>
  <si>
    <t>RIS3-35_2016</t>
  </si>
  <si>
    <t>RIS3-37_2016</t>
  </si>
  <si>
    <t>RIS3-39_2016</t>
  </si>
  <si>
    <t>RIS3-41_2016</t>
  </si>
  <si>
    <t>RIS3-43_2016</t>
  </si>
  <si>
    <t>CO02_2016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</si>
</sst>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949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8" applyNumberFormat="0" applyAlignment="0" applyProtection="0"/>
    <xf numFmtId="0" fontId="10" fillId="7" borderId="8" applyNumberFormat="0" applyAlignment="0" applyProtection="0"/>
    <xf numFmtId="0" fontId="11" fillId="8" borderId="9" applyNumberFormat="0" applyAlignment="0" applyProtection="0"/>
    <xf numFmtId="0" fontId="5" fillId="9" borderId="10" applyNumberFormat="0" applyFont="0" applyAlignment="0" applyProtection="0"/>
  </cellStyleXfs>
  <cellXfs count="28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9" borderId="10" xfId="7" applyFont="1"/>
    <xf numFmtId="0" fontId="6" fillId="3" borderId="0" xfId="1"/>
    <xf numFmtId="0" fontId="7" fillId="4" borderId="10" xfId="2" applyBorder="1"/>
    <xf numFmtId="0" fontId="7" fillId="9" borderId="10" xfId="7" applyFont="1"/>
    <xf numFmtId="0" fontId="10" fillId="7" borderId="8" xfId="5" applyAlignment="1"/>
    <xf numFmtId="0" fontId="8" fillId="5" borderId="11" xfId="3" applyBorder="1" applyAlignment="1"/>
    <xf numFmtId="0" fontId="6" fillId="3" borderId="11" xfId="1" applyBorder="1" applyAlignment="1"/>
    <xf numFmtId="0" fontId="9" fillId="6" borderId="8" xfId="4" applyAlignment="1"/>
    <xf numFmtId="0" fontId="7" fillId="4" borderId="8" xfId="2" applyBorder="1" applyAlignment="1"/>
    <xf numFmtId="0" fontId="8" fillId="5" borderId="8" xfId="3" applyBorder="1" applyAlignment="1"/>
    <xf numFmtId="0" fontId="6" fillId="3" borderId="8" xfId="1" applyBorder="1" applyAlignment="1"/>
    <xf numFmtId="0" fontId="11" fillId="8" borderId="9" xfId="6" applyAlignment="1"/>
    <xf numFmtId="0" fontId="7" fillId="4" borderId="9" xfId="2" applyBorder="1" applyAlignment="1"/>
    <xf numFmtId="0" fontId="6" fillId="3" borderId="9" xfId="1" applyBorder="1" applyAlignmen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4" borderId="0" xfId="2"/>
    <xf numFmtId="0" fontId="9" fillId="6" borderId="8" xfId="4"/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0" fillId="11" borderId="0" xfId="0" applyFill="1"/>
    <xf numFmtId="0" fontId="0" fillId="0" borderId="0" xfId="0" applyFill="1" applyAlignment="1">
      <alignment wrapText="1"/>
    </xf>
    <xf numFmtId="0" fontId="0" fillId="0" borderId="0" xfId="0" applyNumberFormat="1"/>
    <xf numFmtId="0" fontId="15" fillId="0" borderId="5" xfId="0" applyFont="1" applyBorder="1" applyAlignment="1" applyProtection="1">
      <alignment horizontal="left" wrapText="1"/>
      <protection locked="0"/>
    </xf>
    <xf numFmtId="0" fontId="0" fillId="0" borderId="0" xfId="0" applyProtection="1"/>
    <xf numFmtId="0" fontId="0" fillId="11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2" xfId="1" applyFill="1" applyBorder="1" applyAlignment="1">
      <alignment horizontal="left" vertical="top"/>
    </xf>
    <xf numFmtId="0" fontId="0" fillId="0" borderId="0" xfId="0" applyFill="1" applyAlignment="1" applyProtection="1">
      <alignment horizontal="center"/>
    </xf>
    <xf numFmtId="0" fontId="0" fillId="0" borderId="12" xfId="0" applyBorder="1" applyAlignment="1" applyProtection="1">
      <alignment horizontal="left"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2" fontId="13" fillId="10" borderId="13" xfId="0" applyNumberFormat="1" applyFont="1" applyFill="1" applyBorder="1" applyAlignment="1" applyProtection="1">
      <alignment horizontal="center" vertical="center"/>
      <protection locked="0"/>
    </xf>
    <xf numFmtId="2" fontId="6" fillId="10" borderId="14" xfId="1" applyNumberFormat="1" applyFill="1" applyBorder="1" applyAlignment="1" applyProtection="1">
      <alignment horizontal="center" vertical="center"/>
      <protection locked="0"/>
    </xf>
    <xf numFmtId="2" fontId="6" fillId="10" borderId="13" xfId="1" applyNumberFormat="1" applyFill="1" applyBorder="1" applyAlignment="1" applyProtection="1">
      <alignment horizontal="center" vertical="center"/>
      <protection locked="0"/>
    </xf>
    <xf numFmtId="2" fontId="6" fillId="10" borderId="13" xfId="1" applyNumberFormat="1" applyFill="1" applyBorder="1" applyAlignment="1" applyProtection="1">
      <alignment horizontal="center" wrapText="1"/>
      <protection locked="0"/>
    </xf>
    <xf numFmtId="2" fontId="6" fillId="10" borderId="13" xfId="1" applyNumberFormat="1" applyFill="1" applyBorder="1" applyAlignment="1" applyProtection="1">
      <alignment horizontal="center" vertical="center" wrapText="1"/>
      <protection locked="0"/>
    </xf>
    <xf numFmtId="2" fontId="6" fillId="10" borderId="19" xfId="1" applyNumberFormat="1" applyFill="1" applyBorder="1" applyAlignment="1" applyProtection="1">
      <alignment horizontal="center" vertical="center" wrapText="1"/>
      <protection locked="0"/>
    </xf>
    <xf numFmtId="2" fontId="6" fillId="10" borderId="17" xfId="1" applyNumberFormat="1" applyFill="1" applyBorder="1" applyAlignment="1" applyProtection="1">
      <alignment horizontal="center" vertical="center" wrapText="1"/>
      <protection locked="0"/>
    </xf>
    <xf numFmtId="2" fontId="6" fillId="10" borderId="20" xfId="1" applyNumberFormat="1" applyFill="1" applyBorder="1" applyAlignment="1" applyProtection="1">
      <alignment horizontal="center" vertical="center" wrapText="1"/>
      <protection locked="0"/>
    </xf>
    <xf numFmtId="2" fontId="6" fillId="10" borderId="16" xfId="1" applyNumberFormat="1" applyFill="1" applyBorder="1" applyAlignment="1" applyProtection="1">
      <alignment horizontal="center" vertical="center" wrapText="1"/>
      <protection locked="0"/>
    </xf>
    <xf numFmtId="2" fontId="6" fillId="10" borderId="14" xfId="1" applyNumberForma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13" fillId="10" borderId="24" xfId="0" applyNumberFormat="1" applyFont="1" applyFill="1" applyBorder="1" applyAlignment="1" applyProtection="1">
      <alignment horizontal="center" vertical="center"/>
      <protection locked="0"/>
    </xf>
    <xf numFmtId="2" fontId="13" fillId="10" borderId="43" xfId="0" applyNumberFormat="1" applyFont="1" applyFill="1" applyBorder="1" applyAlignment="1" applyProtection="1">
      <alignment horizontal="center" vertical="center"/>
      <protection locked="0"/>
    </xf>
    <xf numFmtId="2" fontId="13" fillId="10" borderId="44" xfId="0" applyNumberFormat="1" applyFont="1" applyFill="1" applyBorder="1" applyAlignment="1" applyProtection="1">
      <alignment horizontal="center" vertical="center"/>
      <protection locked="0"/>
    </xf>
    <xf numFmtId="2" fontId="13" fillId="10" borderId="27" xfId="0" applyNumberFormat="1" applyFont="1" applyFill="1" applyBorder="1" applyAlignment="1" applyProtection="1">
      <alignment horizontal="center" vertical="center"/>
      <protection locked="0"/>
    </xf>
    <xf numFmtId="2" fontId="13" fillId="10" borderId="28" xfId="0" applyNumberFormat="1" applyFont="1" applyFill="1" applyBorder="1" applyAlignment="1" applyProtection="1">
      <alignment horizontal="center" vertical="center"/>
      <protection locked="0"/>
    </xf>
    <xf numFmtId="2" fontId="13" fillId="10" borderId="29" xfId="0" applyNumberFormat="1" applyFont="1" applyFill="1" applyBorder="1" applyAlignment="1" applyProtection="1">
      <alignment horizontal="center" vertical="center"/>
      <protection locked="0"/>
    </xf>
    <xf numFmtId="2" fontId="13" fillId="10" borderId="30" xfId="0" applyNumberFormat="1" applyFont="1" applyFill="1" applyBorder="1" applyAlignment="1" applyProtection="1">
      <alignment horizontal="center" vertical="center"/>
      <protection locked="0"/>
    </xf>
    <xf numFmtId="2" fontId="13" fillId="1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2" xfId="1" applyFill="1" applyBorder="1" applyAlignment="1" applyProtection="1">
      <alignment horizontal="left" vertical="top"/>
      <protection locked="0"/>
    </xf>
    <xf numFmtId="2" fontId="6" fillId="0" borderId="24" xfId="1" applyNumberFormat="1" applyFill="1" applyBorder="1" applyAlignment="1" applyProtection="1">
      <alignment horizontal="center" vertical="center"/>
      <protection locked="0"/>
    </xf>
    <xf numFmtId="2" fontId="6" fillId="0" borderId="25" xfId="1" applyNumberFormat="1" applyFill="1" applyBorder="1" applyAlignment="1" applyProtection="1">
      <alignment horizontal="center" vertical="center"/>
      <protection locked="0"/>
    </xf>
    <xf numFmtId="2" fontId="6" fillId="0" borderId="26" xfId="1" applyNumberFormat="1" applyFill="1" applyBorder="1" applyAlignment="1" applyProtection="1">
      <alignment horizontal="center" vertical="center"/>
      <protection locked="0"/>
    </xf>
    <xf numFmtId="2" fontId="6" fillId="0" borderId="27" xfId="1" applyNumberFormat="1" applyFill="1" applyBorder="1" applyAlignment="1" applyProtection="1">
      <alignment horizontal="center" vertical="center"/>
      <protection locked="0"/>
    </xf>
    <xf numFmtId="2" fontId="6" fillId="0" borderId="13" xfId="1" applyNumberFormat="1" applyFill="1" applyBorder="1" applyAlignment="1" applyProtection="1">
      <alignment horizontal="center" vertical="center"/>
      <protection locked="0"/>
    </xf>
    <xf numFmtId="2" fontId="6" fillId="0" borderId="28" xfId="1" applyNumberFormat="1" applyFill="1" applyBorder="1" applyAlignment="1" applyProtection="1">
      <alignment horizontal="center" vertical="center"/>
      <protection locked="0"/>
    </xf>
    <xf numFmtId="2" fontId="6" fillId="0" borderId="29" xfId="1" applyNumberFormat="1" applyFill="1" applyBorder="1" applyAlignment="1" applyProtection="1">
      <alignment horizontal="center" vertical="center"/>
      <protection locked="0"/>
    </xf>
    <xf numFmtId="2" fontId="6" fillId="0" borderId="30" xfId="1" applyNumberFormat="1" applyFill="1" applyBorder="1" applyAlignment="1" applyProtection="1">
      <alignment horizontal="center" vertical="center"/>
      <protection locked="0"/>
    </xf>
    <xf numFmtId="2" fontId="6" fillId="0" borderId="31" xfId="1" applyNumberFormat="1" applyFill="1" applyBorder="1" applyAlignment="1" applyProtection="1">
      <alignment horizontal="center" vertical="center"/>
      <protection locked="0"/>
    </xf>
    <xf numFmtId="0" fontId="6" fillId="0" borderId="12" xfId="1" applyFill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1" fillId="0" borderId="0" xfId="0" applyFont="1" applyAlignment="1" applyProtection="1">
      <alignment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4" fillId="1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2" fontId="6" fillId="10" borderId="24" xfId="1" applyNumberFormat="1" applyFill="1" applyBorder="1" applyAlignment="1" applyProtection="1">
      <alignment horizontal="center" vertical="center"/>
      <protection locked="0"/>
    </xf>
    <xf numFmtId="2" fontId="6" fillId="10" borderId="25" xfId="1" applyNumberFormat="1" applyFill="1" applyBorder="1" applyAlignment="1" applyProtection="1">
      <alignment horizontal="center" vertical="center"/>
      <protection locked="0"/>
    </xf>
    <xf numFmtId="2" fontId="6" fillId="10" borderId="26" xfId="1" applyNumberFormat="1" applyFill="1" applyBorder="1" applyAlignment="1" applyProtection="1">
      <alignment horizontal="center" vertical="center"/>
      <protection locked="0"/>
    </xf>
    <xf numFmtId="2" fontId="6" fillId="10" borderId="27" xfId="1" applyNumberFormat="1" applyFill="1" applyBorder="1" applyAlignment="1" applyProtection="1">
      <alignment horizontal="center" vertical="center"/>
      <protection locked="0"/>
    </xf>
    <xf numFmtId="2" fontId="6" fillId="10" borderId="28" xfId="1" applyNumberFormat="1" applyFill="1" applyBorder="1" applyAlignment="1" applyProtection="1">
      <alignment horizontal="center" vertical="center"/>
      <protection locked="0"/>
    </xf>
    <xf numFmtId="2" fontId="6" fillId="10" borderId="29" xfId="1" applyNumberFormat="1" applyFill="1" applyBorder="1" applyAlignment="1" applyProtection="1">
      <alignment horizontal="center" vertical="center"/>
      <protection locked="0"/>
    </xf>
    <xf numFmtId="2" fontId="6" fillId="10" borderId="30" xfId="1" applyNumberFormat="1" applyFill="1" applyBorder="1" applyAlignment="1" applyProtection="1">
      <alignment horizontal="center" vertical="center"/>
      <protection locked="0"/>
    </xf>
    <xf numFmtId="2" fontId="6" fillId="10" borderId="31" xfId="1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2" fontId="6" fillId="10" borderId="24" xfId="1" applyNumberFormat="1" applyFill="1" applyBorder="1" applyAlignment="1" applyProtection="1">
      <alignment horizontal="center" vertical="center" wrapText="1"/>
      <protection locked="0"/>
    </xf>
    <xf numFmtId="2" fontId="6" fillId="10" borderId="25" xfId="1" applyNumberFormat="1" applyFill="1" applyBorder="1" applyAlignment="1" applyProtection="1">
      <alignment horizontal="center" vertical="center" wrapText="1"/>
      <protection locked="0"/>
    </xf>
    <xf numFmtId="2" fontId="6" fillId="10" borderId="26" xfId="1" applyNumberFormat="1" applyFill="1" applyBorder="1" applyAlignment="1" applyProtection="1">
      <alignment horizontal="center" vertical="center" wrapText="1"/>
      <protection locked="0"/>
    </xf>
    <xf numFmtId="2" fontId="6" fillId="10" borderId="27" xfId="1" applyNumberFormat="1" applyFill="1" applyBorder="1" applyAlignment="1" applyProtection="1">
      <alignment horizontal="center" vertical="center" wrapText="1"/>
      <protection locked="0"/>
    </xf>
    <xf numFmtId="2" fontId="6" fillId="10" borderId="28" xfId="1" applyNumberFormat="1" applyFill="1" applyBorder="1" applyAlignment="1" applyProtection="1">
      <alignment horizontal="center" vertical="center" wrapText="1"/>
      <protection locked="0"/>
    </xf>
    <xf numFmtId="2" fontId="6" fillId="10" borderId="33" xfId="1" applyNumberFormat="1" applyFill="1" applyBorder="1" applyAlignment="1" applyProtection="1">
      <alignment horizontal="center" vertical="center" wrapText="1"/>
      <protection locked="0"/>
    </xf>
    <xf numFmtId="2" fontId="6" fillId="10" borderId="29" xfId="1" applyNumberFormat="1" applyFill="1" applyBorder="1" applyAlignment="1" applyProtection="1">
      <alignment horizontal="center" vertical="center" wrapText="1"/>
      <protection locked="0"/>
    </xf>
    <xf numFmtId="2" fontId="6" fillId="10" borderId="30" xfId="1" applyNumberFormat="1" applyFill="1" applyBorder="1" applyAlignment="1" applyProtection="1">
      <alignment horizontal="center" vertical="center" wrapText="1"/>
      <protection locked="0"/>
    </xf>
    <xf numFmtId="2" fontId="6" fillId="10" borderId="31" xfId="1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top"/>
    </xf>
    <xf numFmtId="2" fontId="6" fillId="10" borderId="34" xfId="1" applyNumberFormat="1" applyFill="1" applyBorder="1" applyAlignment="1" applyProtection="1">
      <alignment horizontal="center" vertical="center" wrapText="1"/>
      <protection locked="0"/>
    </xf>
    <xf numFmtId="2" fontId="6" fillId="10" borderId="24" xfId="1" applyNumberFormat="1" applyFill="1" applyBorder="1" applyAlignment="1" applyProtection="1">
      <alignment horizontal="center" wrapText="1"/>
      <protection locked="0"/>
    </xf>
    <xf numFmtId="2" fontId="6" fillId="10" borderId="25" xfId="1" applyNumberFormat="1" applyFill="1" applyBorder="1" applyAlignment="1" applyProtection="1">
      <alignment horizontal="center" wrapText="1"/>
      <protection locked="0"/>
    </xf>
    <xf numFmtId="2" fontId="6" fillId="10" borderId="26" xfId="1" applyNumberFormat="1" applyFill="1" applyBorder="1" applyAlignment="1" applyProtection="1">
      <alignment horizontal="center" wrapText="1"/>
      <protection locked="0"/>
    </xf>
    <xf numFmtId="2" fontId="6" fillId="10" borderId="27" xfId="1" applyNumberFormat="1" applyFill="1" applyBorder="1" applyAlignment="1" applyProtection="1">
      <alignment horizontal="center" wrapText="1"/>
      <protection locked="0"/>
    </xf>
    <xf numFmtId="2" fontId="6" fillId="10" borderId="28" xfId="1" applyNumberFormat="1" applyFill="1" applyBorder="1" applyAlignment="1" applyProtection="1">
      <alignment horizontal="center" wrapText="1"/>
      <protection locked="0"/>
    </xf>
    <xf numFmtId="2" fontId="6" fillId="10" borderId="45" xfId="1" applyNumberFormat="1" applyFill="1" applyBorder="1" applyAlignment="1" applyProtection="1">
      <alignment horizontal="center" vertical="center" wrapText="1"/>
      <protection locked="0"/>
    </xf>
    <xf numFmtId="2" fontId="6" fillId="10" borderId="29" xfId="1" applyNumberFormat="1" applyFill="1" applyBorder="1" applyAlignment="1" applyProtection="1">
      <alignment horizontal="center" wrapText="1"/>
      <protection locked="0"/>
    </xf>
    <xf numFmtId="2" fontId="6" fillId="10" borderId="30" xfId="1" applyNumberFormat="1" applyFill="1" applyBorder="1" applyAlignment="1" applyProtection="1">
      <alignment horizontal="center" wrapText="1"/>
      <protection locked="0"/>
    </xf>
    <xf numFmtId="2" fontId="6" fillId="10" borderId="31" xfId="1" applyNumberFormat="1" applyFill="1" applyBorder="1" applyAlignment="1" applyProtection="1">
      <alignment horizontal="center" wrapText="1"/>
      <protection locked="0"/>
    </xf>
    <xf numFmtId="2" fontId="6" fillId="10" borderId="45" xfId="1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2" fontId="6" fillId="10" borderId="27" xfId="1" applyNumberFormat="1" applyFill="1" applyBorder="1" applyAlignment="1" applyProtection="1">
      <alignment horizontal="center" vertical="center"/>
      <protection locked="0"/>
    </xf>
    <xf numFmtId="2" fontId="6" fillId="10" borderId="27" xfId="1" applyNumberFormat="1" applyFill="1" applyBorder="1" applyAlignment="1" applyProtection="1">
      <alignment horizontal="center" vertical="center" wrapText="1"/>
      <protection locked="0"/>
    </xf>
    <xf numFmtId="2" fontId="6" fillId="10" borderId="19" xfId="1" applyNumberFormat="1" applyFill="1" applyBorder="1" applyAlignment="1" applyProtection="1">
      <alignment horizontal="center" vertical="center" wrapText="1"/>
      <protection locked="0"/>
    </xf>
    <xf numFmtId="2" fontId="6" fillId="10" borderId="13" xfId="1" applyNumberFormat="1" applyFill="1" applyBorder="1" applyAlignment="1" applyProtection="1">
      <alignment horizontal="center" vertical="center"/>
      <protection locked="0"/>
    </xf>
    <xf numFmtId="2" fontId="6" fillId="10" borderId="27" xfId="1" applyNumberFormat="1" applyFill="1" applyBorder="1" applyAlignment="1" applyProtection="1">
      <alignment horizontal="center" vertical="center"/>
      <protection locked="0"/>
    </xf>
    <xf numFmtId="2" fontId="6" fillId="10" borderId="27" xfId="1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2" fontId="13" fillId="10" borderId="24" xfId="0" applyNumberFormat="1" applyFont="1" applyFill="1" applyBorder="1" applyAlignment="1" applyProtection="1">
      <alignment horizontal="center" vertical="center"/>
      <protection locked="0"/>
    </xf>
    <xf numFmtId="2" fontId="13" fillId="10" borderId="27" xfId="0" applyNumberFormat="1" applyFont="1" applyFill="1" applyBorder="1" applyAlignment="1" applyProtection="1">
      <alignment horizontal="center" vertical="center"/>
      <protection locked="0"/>
    </xf>
    <xf numFmtId="2" fontId="13" fillId="10" borderId="24" xfId="0" applyNumberFormat="1" applyFont="1" applyFill="1" applyBorder="1" applyAlignment="1" applyProtection="1">
      <alignment horizontal="center" vertical="center"/>
      <protection locked="0"/>
    </xf>
    <xf numFmtId="2" fontId="13" fillId="10" borderId="27" xfId="0" applyNumberFormat="1" applyFont="1" applyFill="1" applyBorder="1" applyAlignment="1" applyProtection="1">
      <alignment horizontal="center" vertical="center"/>
      <protection locked="0"/>
    </xf>
    <xf numFmtId="2" fontId="13" fillId="10" borderId="18" xfId="0" applyNumberFormat="1" applyFont="1" applyFill="1" applyBorder="1" applyAlignment="1" applyProtection="1">
      <alignment horizontal="center" vertical="center"/>
      <protection locked="0"/>
    </xf>
    <xf numFmtId="2" fontId="13" fillId="1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14" fillId="11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2" fontId="13" fillId="10" borderId="25" xfId="0" applyNumberFormat="1" applyFont="1" applyFill="1" applyBorder="1" applyAlignment="1" applyProtection="1">
      <alignment horizontal="center" vertical="center"/>
      <protection locked="0"/>
    </xf>
    <xf numFmtId="2" fontId="13" fillId="10" borderId="13" xfId="0" applyNumberFormat="1" applyFont="1" applyFill="1" applyBorder="1" applyAlignment="1" applyProtection="1">
      <alignment horizontal="center" vertical="center"/>
      <protection locked="0"/>
    </xf>
    <xf numFmtId="2" fontId="13" fillId="10" borderId="26" xfId="0" applyNumberFormat="1" applyFont="1" applyFill="1" applyBorder="1" applyAlignment="1" applyProtection="1">
      <alignment horizontal="center" vertical="center"/>
      <protection locked="0"/>
    </xf>
    <xf numFmtId="2" fontId="13" fillId="10" borderId="28" xfId="0" applyNumberFormat="1" applyFont="1" applyFill="1" applyBorder="1" applyAlignment="1" applyProtection="1">
      <alignment horizontal="center" vertical="center"/>
      <protection locked="0"/>
    </xf>
    <xf numFmtId="2" fontId="13" fillId="10" borderId="15" xfId="0" applyNumberFormat="1" applyFont="1" applyFill="1" applyBorder="1" applyAlignment="1" applyProtection="1">
      <alignment horizontal="center" vertical="center"/>
      <protection locked="0"/>
    </xf>
    <xf numFmtId="2" fontId="13" fillId="1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2" fontId="13" fillId="10" borderId="20" xfId="0" applyNumberFormat="1" applyFont="1" applyFill="1" applyBorder="1" applyAlignment="1" applyProtection="1">
      <alignment horizontal="center" vertical="center"/>
      <protection locked="0"/>
    </xf>
    <xf numFmtId="2" fontId="13" fillId="10" borderId="31" xfId="0" applyNumberFormat="1" applyFont="1" applyFill="1" applyBorder="1" applyAlignment="1" applyProtection="1">
      <alignment horizontal="center" vertical="center"/>
      <protection locked="0"/>
    </xf>
    <xf numFmtId="2" fontId="13" fillId="10" borderId="16" xfId="0" applyNumberFormat="1" applyFont="1" applyFill="1" applyBorder="1" applyAlignment="1" applyProtection="1">
      <alignment horizontal="center" vertical="center"/>
      <protection locked="0"/>
    </xf>
    <xf numFmtId="2" fontId="13" fillId="10" borderId="30" xfId="0" applyNumberFormat="1" applyFont="1" applyFill="1" applyBorder="1" applyAlignment="1" applyProtection="1">
      <alignment horizontal="center" vertical="center"/>
      <protection locked="0"/>
    </xf>
    <xf numFmtId="2" fontId="6" fillId="10" borderId="13" xfId="1" applyNumberFormat="1" applyFill="1" applyBorder="1" applyAlignment="1" applyProtection="1">
      <alignment horizontal="center" vertical="center"/>
      <protection locked="0"/>
    </xf>
    <xf numFmtId="2" fontId="6" fillId="10" borderId="25" xfId="1" applyNumberFormat="1" applyFill="1" applyBorder="1" applyAlignment="1" applyProtection="1">
      <alignment horizontal="center" vertical="center"/>
      <protection locked="0"/>
    </xf>
    <xf numFmtId="2" fontId="6" fillId="10" borderId="27" xfId="1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6" fillId="10" borderId="24" xfId="1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6" fillId="10" borderId="26" xfId="1" applyNumberFormat="1" applyFill="1" applyBorder="1" applyAlignment="1" applyProtection="1">
      <alignment horizontal="center" vertical="center"/>
      <protection locked="0"/>
    </xf>
    <xf numFmtId="2" fontId="6" fillId="10" borderId="28" xfId="1" applyNumberForma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6" fillId="10" borderId="15" xfId="1" applyNumberFormat="1" applyFill="1" applyBorder="1" applyAlignment="1" applyProtection="1">
      <alignment horizontal="center" vertical="center"/>
      <protection locked="0"/>
    </xf>
    <xf numFmtId="2" fontId="6" fillId="10" borderId="17" xfId="1" applyNumberFormat="1" applyFill="1" applyBorder="1" applyAlignment="1" applyProtection="1">
      <alignment horizontal="center" vertical="center"/>
      <protection locked="0"/>
    </xf>
    <xf numFmtId="2" fontId="6" fillId="10" borderId="29" xfId="1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11" borderId="0" xfId="0" applyFont="1" applyFill="1" applyAlignment="1">
      <alignment horizontal="center" wrapText="1"/>
    </xf>
    <xf numFmtId="2" fontId="6" fillId="10" borderId="30" xfId="1" applyNumberFormat="1" applyFill="1" applyBorder="1" applyAlignment="1" applyProtection="1">
      <alignment horizontal="center" vertical="center"/>
      <protection locked="0"/>
    </xf>
    <xf numFmtId="2" fontId="6" fillId="10" borderId="31" xfId="1" applyNumberFormat="1" applyFill="1" applyBorder="1" applyAlignment="1" applyProtection="1">
      <alignment horizontal="center" vertical="center"/>
      <protection locked="0"/>
    </xf>
    <xf numFmtId="2" fontId="6" fillId="10" borderId="4" xfId="1" applyNumberFormat="1" applyFill="1" applyBorder="1" applyAlignment="1" applyProtection="1">
      <alignment horizontal="center" vertical="center" wrapText="1"/>
      <protection locked="0"/>
    </xf>
    <xf numFmtId="2" fontId="6" fillId="10" borderId="47" xfId="1" applyNumberFormat="1" applyFill="1" applyBorder="1" applyAlignment="1" applyProtection="1">
      <alignment horizontal="center" vertical="center" wrapText="1"/>
      <protection locked="0"/>
    </xf>
    <xf numFmtId="2" fontId="6" fillId="10" borderId="46" xfId="1" applyNumberFormat="1" applyFill="1" applyBorder="1" applyAlignment="1" applyProtection="1">
      <alignment horizontal="center" vertical="center" wrapText="1"/>
      <protection locked="0"/>
    </xf>
    <xf numFmtId="2" fontId="6" fillId="10" borderId="25" xfId="1" applyNumberFormat="1" applyFill="1" applyBorder="1" applyAlignment="1" applyProtection="1">
      <alignment horizontal="center" vertical="center" wrapText="1"/>
      <protection locked="0"/>
    </xf>
    <xf numFmtId="2" fontId="6" fillId="10" borderId="13" xfId="1" applyNumberForma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10" borderId="24" xfId="1" applyNumberFormat="1" applyFill="1" applyBorder="1" applyAlignment="1" applyProtection="1">
      <alignment horizontal="center" vertical="center" wrapText="1"/>
      <protection locked="0"/>
    </xf>
    <xf numFmtId="2" fontId="6" fillId="10" borderId="27" xfId="1" applyNumberFormat="1" applyFill="1" applyBorder="1" applyAlignment="1" applyProtection="1">
      <alignment horizontal="center" vertical="center" wrapText="1"/>
      <protection locked="0"/>
    </xf>
    <xf numFmtId="2" fontId="6" fillId="10" borderId="26" xfId="1" applyNumberFormat="1" applyFill="1" applyBorder="1" applyAlignment="1" applyProtection="1">
      <alignment horizontal="center" vertical="center" wrapText="1"/>
      <protection locked="0"/>
    </xf>
    <xf numFmtId="2" fontId="6" fillId="10" borderId="28" xfId="1" applyNumberFormat="1" applyFill="1" applyBorder="1" applyAlignment="1" applyProtection="1">
      <alignment horizontal="center" vertical="center" wrapText="1"/>
      <protection locked="0"/>
    </xf>
    <xf numFmtId="2" fontId="6" fillId="10" borderId="29" xfId="1" applyNumberFormat="1" applyFill="1" applyBorder="1" applyAlignment="1" applyProtection="1">
      <alignment horizontal="center" vertical="center" wrapText="1"/>
      <protection locked="0"/>
    </xf>
    <xf numFmtId="2" fontId="6" fillId="10" borderId="6" xfId="1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2" fontId="6" fillId="10" borderId="30" xfId="1" applyNumberFormat="1" applyFill="1" applyBorder="1" applyAlignment="1" applyProtection="1">
      <alignment horizontal="center" vertical="center" wrapText="1"/>
      <protection locked="0"/>
    </xf>
    <xf numFmtId="2" fontId="6" fillId="10" borderId="31" xfId="1" applyNumberFormat="1" applyFill="1" applyBorder="1" applyAlignment="1" applyProtection="1">
      <alignment horizontal="center" vertical="center" wrapText="1"/>
      <protection locked="0"/>
    </xf>
    <xf numFmtId="2" fontId="6" fillId="10" borderId="37" xfId="1" applyNumberFormat="1" applyFill="1" applyBorder="1" applyAlignment="1" applyProtection="1">
      <alignment horizontal="center" vertical="center" wrapText="1"/>
      <protection locked="0"/>
    </xf>
    <xf numFmtId="2" fontId="6" fillId="10" borderId="19" xfId="1" applyNumberFormat="1" applyFill="1" applyBorder="1" applyAlignment="1" applyProtection="1">
      <alignment horizontal="center" vertical="center" wrapText="1"/>
      <protection locked="0"/>
    </xf>
    <xf numFmtId="2" fontId="6" fillId="10" borderId="18" xfId="1" applyNumberFormat="1" applyFill="1" applyBorder="1" applyAlignment="1" applyProtection="1">
      <alignment horizontal="center" vertical="center" wrapText="1"/>
      <protection locked="0"/>
    </xf>
    <xf numFmtId="2" fontId="6" fillId="10" borderId="36" xfId="1" applyNumberFormat="1" applyFill="1" applyBorder="1" applyAlignment="1" applyProtection="1">
      <alignment horizontal="center" vertical="center" wrapText="1"/>
      <protection locked="0"/>
    </xf>
    <xf numFmtId="2" fontId="6" fillId="10" borderId="17" xfId="1" applyNumberFormat="1" applyFill="1" applyBorder="1" applyAlignment="1" applyProtection="1">
      <alignment horizontal="center" vertical="center" wrapText="1"/>
      <protection locked="0"/>
    </xf>
    <xf numFmtId="2" fontId="6" fillId="10" borderId="15" xfId="1" applyNumberFormat="1" applyFill="1" applyBorder="1" applyAlignment="1" applyProtection="1">
      <alignment horizontal="center" vertical="center" wrapText="1"/>
      <protection locked="0"/>
    </xf>
    <xf numFmtId="2" fontId="6" fillId="10" borderId="35" xfId="1" applyNumberFormat="1" applyFill="1" applyBorder="1" applyAlignment="1" applyProtection="1">
      <alignment horizontal="center" vertical="center" wrapText="1"/>
      <protection locked="0"/>
    </xf>
    <xf numFmtId="2" fontId="6" fillId="10" borderId="34" xfId="1" applyNumberFormat="1" applyFill="1" applyBorder="1" applyAlignment="1" applyProtection="1">
      <alignment horizontal="center" vertical="center" wrapText="1"/>
      <protection locked="0"/>
    </xf>
    <xf numFmtId="2" fontId="6" fillId="10" borderId="32" xfId="1" applyNumberFormat="1" applyFill="1" applyBorder="1" applyAlignment="1" applyProtection="1">
      <alignment horizontal="center" vertical="center" wrapText="1"/>
      <protection locked="0"/>
    </xf>
    <xf numFmtId="2" fontId="6" fillId="10" borderId="20" xfId="1" applyNumberFormat="1" applyFill="1" applyBorder="1" applyAlignment="1" applyProtection="1">
      <alignment horizontal="center" vertical="center" wrapText="1"/>
      <protection locked="0"/>
    </xf>
    <xf numFmtId="2" fontId="6" fillId="10" borderId="16" xfId="1" applyNumberFormat="1" applyFill="1" applyBorder="1" applyAlignment="1" applyProtection="1">
      <alignment horizontal="center" vertical="center" wrapText="1"/>
      <protection locked="0"/>
    </xf>
    <xf numFmtId="2" fontId="6" fillId="10" borderId="39" xfId="1" applyNumberFormat="1" applyFill="1" applyBorder="1" applyAlignment="1" applyProtection="1">
      <alignment horizontal="center" vertical="center" wrapText="1"/>
      <protection locked="0"/>
    </xf>
    <xf numFmtId="2" fontId="6" fillId="10" borderId="40" xfId="1" applyNumberFormat="1" applyFill="1" applyBorder="1" applyAlignment="1" applyProtection="1">
      <alignment horizontal="center" vertical="center" wrapText="1"/>
      <protection locked="0"/>
    </xf>
    <xf numFmtId="2" fontId="6" fillId="10" borderId="33" xfId="1" applyNumberForma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2" fontId="6" fillId="10" borderId="38" xfId="1" applyNumberFormat="1" applyFill="1" applyBorder="1" applyAlignment="1" applyProtection="1">
      <alignment horizontal="center" vertical="center"/>
      <protection locked="0"/>
    </xf>
    <xf numFmtId="2" fontId="6" fillId="10" borderId="14" xfId="1" applyNumberFormat="1" applyFill="1" applyBorder="1" applyAlignment="1" applyProtection="1">
      <alignment horizontal="center" vertical="center"/>
      <protection locked="0"/>
    </xf>
    <xf numFmtId="2" fontId="6" fillId="10" borderId="19" xfId="1" applyNumberFormat="1" applyFill="1" applyBorder="1" applyAlignment="1" applyProtection="1">
      <alignment horizontal="center" vertical="center"/>
      <protection locked="0"/>
    </xf>
    <xf numFmtId="2" fontId="6" fillId="10" borderId="34" xfId="1" applyNumberFormat="1" applyFill="1" applyBorder="1" applyAlignment="1" applyProtection="1">
      <alignment horizontal="center" vertical="center"/>
      <protection locked="0"/>
    </xf>
    <xf numFmtId="2" fontId="6" fillId="0" borderId="37" xfId="1" applyNumberFormat="1" applyFill="1" applyBorder="1" applyAlignment="1" applyProtection="1">
      <alignment horizontal="center" vertical="center"/>
      <protection locked="0"/>
    </xf>
    <xf numFmtId="2" fontId="6" fillId="0" borderId="19" xfId="1" applyNumberFormat="1" applyFill="1" applyBorder="1" applyAlignment="1" applyProtection="1">
      <alignment horizontal="center" vertical="center"/>
      <protection locked="0"/>
    </xf>
    <xf numFmtId="2" fontId="6" fillId="0" borderId="36" xfId="1" applyNumberFormat="1" applyFill="1" applyBorder="1" applyAlignment="1" applyProtection="1">
      <alignment horizontal="center" vertical="center"/>
      <protection locked="0"/>
    </xf>
    <xf numFmtId="2" fontId="6" fillId="0" borderId="17" xfId="1" applyNumberFormat="1" applyFill="1" applyBorder="1" applyAlignment="1" applyProtection="1">
      <alignment horizontal="center" vertical="center"/>
      <protection locked="0"/>
    </xf>
    <xf numFmtId="2" fontId="6" fillId="0" borderId="35" xfId="1" applyNumberFormat="1" applyFill="1" applyBorder="1" applyAlignment="1" applyProtection="1">
      <alignment horizontal="center" vertical="center"/>
      <protection locked="0"/>
    </xf>
    <xf numFmtId="2" fontId="6" fillId="0" borderId="34" xfId="1" applyNumberFormat="1" applyFill="1" applyBorder="1" applyAlignment="1" applyProtection="1">
      <alignment horizontal="center" vertical="center"/>
      <protection locked="0"/>
    </xf>
    <xf numFmtId="2" fontId="6" fillId="0" borderId="15" xfId="1" applyNumberFormat="1" applyFill="1" applyBorder="1" applyAlignment="1" applyProtection="1">
      <alignment horizontal="center" vertical="center"/>
      <protection locked="0"/>
    </xf>
    <xf numFmtId="2" fontId="6" fillId="0" borderId="32" xfId="1" applyNumberFormat="1" applyFill="1" applyBorder="1" applyAlignment="1" applyProtection="1">
      <alignment horizontal="center" vertical="center"/>
      <protection locked="0"/>
    </xf>
    <xf numFmtId="2" fontId="6" fillId="0" borderId="18" xfId="1" applyNumberFormat="1" applyFill="1" applyBorder="1" applyAlignment="1" applyProtection="1">
      <alignment horizontal="center" vertical="center"/>
      <protection locked="0"/>
    </xf>
    <xf numFmtId="2" fontId="6" fillId="0" borderId="20" xfId="1" applyNumberFormat="1" applyFill="1" applyBorder="1" applyAlignment="1" applyProtection="1">
      <alignment horizontal="center" vertical="center"/>
      <protection locked="0"/>
    </xf>
    <xf numFmtId="2" fontId="6" fillId="0" borderId="33" xfId="1" applyNumberFormat="1" applyFill="1" applyBorder="1" applyAlignment="1" applyProtection="1">
      <alignment horizontal="center" vertical="center"/>
      <protection locked="0"/>
    </xf>
    <xf numFmtId="2" fontId="6" fillId="0" borderId="16" xfId="1" applyNumberFormat="1" applyFill="1" applyBorder="1" applyAlignment="1" applyProtection="1">
      <alignment horizontal="center" vertical="center"/>
      <protection locked="0"/>
    </xf>
    <xf numFmtId="2" fontId="6" fillId="0" borderId="39" xfId="1" applyNumberFormat="1" applyFill="1" applyBorder="1" applyAlignment="1" applyProtection="1">
      <alignment horizontal="center" vertical="center"/>
      <protection locked="0"/>
    </xf>
    <xf numFmtId="2" fontId="6" fillId="0" borderId="40" xfId="1" applyNumberFormat="1" applyFill="1" applyBorder="1" applyAlignment="1" applyProtection="1">
      <alignment horizontal="center" vertical="center"/>
      <protection locked="0"/>
    </xf>
    <xf numFmtId="2" fontId="6" fillId="0" borderId="42" xfId="1" applyNumberFormat="1" applyFill="1" applyBorder="1" applyAlignment="1" applyProtection="1">
      <alignment horizontal="center" vertical="center"/>
      <protection locked="0"/>
    </xf>
    <xf numFmtId="0" fontId="16" fillId="0" borderId="0" xfId="0" applyFont="1" applyFill="1"/>
  </cellXfs>
  <cellStyles count="8">
    <cellStyle name="Bé" xfId="1" builtinId="26"/>
    <cellStyle name="Càlcul" xfId="5" builtinId="22"/>
    <cellStyle name="Cel·la de comprovació" xfId="6" builtinId="23"/>
    <cellStyle name="Entrada" xfId="4" builtinId="20"/>
    <cellStyle name="Incorrecte" xfId="2" builtinId="27"/>
    <cellStyle name="Neutral" xfId="3" builtinId="28"/>
    <cellStyle name="Normal" xfId="0" builtinId="0"/>
    <cellStyle name="Nota" xfId="7" builtinId="10"/>
  </cellStyles>
  <dxfs count="0"/>
  <tableStyles count="0" defaultTableStyle="TableStyleMedium2" defaultPivotStyle="PivotStyleLight16"/>
  <colors>
    <mruColors>
      <color rgb="FFE69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7334250</xdr:colOff>
      <xdr:row>4</xdr:row>
      <xdr:rowOff>3</xdr:rowOff>
    </xdr:from>
    <xdr:to>
      <xdr:col>7</xdr:col>
      <xdr:colOff>42898</xdr:colOff>
      <xdr:row>6</xdr:row>
      <xdr:rowOff>27215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C3A7C99-89DE-4EB9-80A0-6AF67EF1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7464" y="1170217"/>
          <a:ext cx="3852898" cy="50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27215</xdr:colOff>
      <xdr:row>1</xdr:row>
      <xdr:rowOff>149680</xdr:rowOff>
    </xdr:from>
    <xdr:to>
      <xdr:col>1</xdr:col>
      <xdr:colOff>1279070</xdr:colOff>
      <xdr:row>3</xdr:row>
      <xdr:rowOff>27752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29BBB9EE-F1E6-4767-9BB1-85C01F04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421823"/>
          <a:ext cx="1251855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884464</xdr:colOff>
      <xdr:row>6</xdr:row>
      <xdr:rowOff>99330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FE43D10C-8733-4A5A-96A9-2AEF698E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891640" cy="507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40821</xdr:colOff>
      <xdr:row>1</xdr:row>
      <xdr:rowOff>176896</xdr:rowOff>
    </xdr:from>
    <xdr:to>
      <xdr:col>2</xdr:col>
      <xdr:colOff>40822</xdr:colOff>
      <xdr:row>3</xdr:row>
      <xdr:rowOff>99795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51E2AB73-FAC0-46C5-A09F-D3E51F63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367396"/>
          <a:ext cx="1415143" cy="508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666750</xdr:colOff>
      <xdr:row>6</xdr:row>
      <xdr:rowOff>165837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2E8CF189-6AA1-4C51-8CA5-65296C90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673926" cy="574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1074965</xdr:colOff>
      <xdr:row>1</xdr:row>
      <xdr:rowOff>176895</xdr:rowOff>
    </xdr:from>
    <xdr:to>
      <xdr:col>1</xdr:col>
      <xdr:colOff>1347108</xdr:colOff>
      <xdr:row>3</xdr:row>
      <xdr:rowOff>95289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ABCAEBBC-4D74-42ED-96CC-BC80DB8F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367395"/>
          <a:ext cx="1374322" cy="503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775607</xdr:colOff>
      <xdr:row>6</xdr:row>
      <xdr:rowOff>136070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90BFCF18-5044-4451-99BD-D7DE0EDA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782783" cy="54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1074965</xdr:colOff>
      <xdr:row>2</xdr:row>
      <xdr:rowOff>0</xdr:rowOff>
    </xdr:from>
    <xdr:to>
      <xdr:col>1</xdr:col>
      <xdr:colOff>1306286</xdr:colOff>
      <xdr:row>3</xdr:row>
      <xdr:rowOff>108893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33C29606-73E7-4474-89FA-C3028674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381000"/>
          <a:ext cx="1333500" cy="50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40821</xdr:colOff>
      <xdr:row>4</xdr:row>
      <xdr:rowOff>27214</xdr:rowOff>
    </xdr:from>
    <xdr:to>
      <xdr:col>6</xdr:col>
      <xdr:colOff>893629</xdr:colOff>
      <xdr:row>6</xdr:row>
      <xdr:rowOff>108857</xdr:rowOff>
    </xdr:to>
    <xdr:pic>
      <xdr:nvPicPr>
        <xdr:cNvPr id="3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5035" y="1129393"/>
          <a:ext cx="3819165" cy="530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1088570</xdr:colOff>
      <xdr:row>2</xdr:row>
      <xdr:rowOff>1</xdr:rowOff>
    </xdr:from>
    <xdr:to>
      <xdr:col>1</xdr:col>
      <xdr:colOff>1316144</xdr:colOff>
      <xdr:row>3</xdr:row>
      <xdr:rowOff>46180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0" y="381001"/>
          <a:ext cx="1370574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81642</xdr:colOff>
      <xdr:row>4</xdr:row>
      <xdr:rowOff>0</xdr:rowOff>
    </xdr:from>
    <xdr:to>
      <xdr:col>6</xdr:col>
      <xdr:colOff>693965</xdr:colOff>
      <xdr:row>6</xdr:row>
      <xdr:rowOff>122464</xdr:rowOff>
    </xdr:to>
    <xdr:pic>
      <xdr:nvPicPr>
        <xdr:cNvPr id="4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71" y="1115786"/>
          <a:ext cx="363310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993322</xdr:colOff>
      <xdr:row>1</xdr:row>
      <xdr:rowOff>108857</xdr:rowOff>
    </xdr:from>
    <xdr:to>
      <xdr:col>1</xdr:col>
      <xdr:colOff>1387929</xdr:colOff>
      <xdr:row>3</xdr:row>
      <xdr:rowOff>29935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2" y="299357"/>
          <a:ext cx="145596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4</xdr:row>
      <xdr:rowOff>0</xdr:rowOff>
    </xdr:from>
    <xdr:to>
      <xdr:col>6</xdr:col>
      <xdr:colOff>680357</xdr:colOff>
      <xdr:row>6</xdr:row>
      <xdr:rowOff>108858</xdr:rowOff>
    </xdr:to>
    <xdr:pic>
      <xdr:nvPicPr>
        <xdr:cNvPr id="4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4" y="1115786"/>
          <a:ext cx="3646713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1034143</xdr:colOff>
      <xdr:row>1</xdr:row>
      <xdr:rowOff>176893</xdr:rowOff>
    </xdr:from>
    <xdr:to>
      <xdr:col>1</xdr:col>
      <xdr:colOff>1387928</xdr:colOff>
      <xdr:row>3</xdr:row>
      <xdr:rowOff>125186</xdr:rowOff>
    </xdr:to>
    <xdr:pic>
      <xdr:nvPicPr>
        <xdr:cNvPr id="5" name="Imagen 5" descr="\\sfi03\usuaris\mtduran\Escritorio\Sin título-2-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3" y="367393"/>
          <a:ext cx="145596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54431</xdr:colOff>
      <xdr:row>4</xdr:row>
      <xdr:rowOff>0</xdr:rowOff>
    </xdr:from>
    <xdr:to>
      <xdr:col>6</xdr:col>
      <xdr:colOff>683788</xdr:colOff>
      <xdr:row>6</xdr:row>
      <xdr:rowOff>136071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A70B89AD-8889-40FE-965E-0FB2C6AD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5" y="1115786"/>
          <a:ext cx="3650143" cy="544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1034145</xdr:colOff>
      <xdr:row>1</xdr:row>
      <xdr:rowOff>176893</xdr:rowOff>
    </xdr:from>
    <xdr:to>
      <xdr:col>1</xdr:col>
      <xdr:colOff>1326049</xdr:colOff>
      <xdr:row>3</xdr:row>
      <xdr:rowOff>23786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447C405E-8920-411F-9E56-70EA91AA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5" y="367393"/>
          <a:ext cx="1394083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54430</xdr:colOff>
      <xdr:row>4</xdr:row>
      <xdr:rowOff>13</xdr:rowOff>
    </xdr:from>
    <xdr:to>
      <xdr:col>6</xdr:col>
      <xdr:colOff>707571</xdr:colOff>
      <xdr:row>6</xdr:row>
      <xdr:rowOff>136071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B28E1FAF-8938-42A2-A97E-A0F89A5E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4" y="1115799"/>
          <a:ext cx="3673927" cy="544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1034144</xdr:colOff>
      <xdr:row>1</xdr:row>
      <xdr:rowOff>176893</xdr:rowOff>
    </xdr:from>
    <xdr:to>
      <xdr:col>1</xdr:col>
      <xdr:colOff>1347107</xdr:colOff>
      <xdr:row>3</xdr:row>
      <xdr:rowOff>59786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9F1DA34E-485C-4683-81E2-59DCCCBF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367393"/>
          <a:ext cx="1415142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54431</xdr:colOff>
      <xdr:row>4</xdr:row>
      <xdr:rowOff>1</xdr:rowOff>
    </xdr:from>
    <xdr:to>
      <xdr:col>6</xdr:col>
      <xdr:colOff>815092</xdr:colOff>
      <xdr:row>6</xdr:row>
      <xdr:rowOff>136071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6E8C083D-BFD4-44AC-9A05-3BCA282B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5" y="1115787"/>
          <a:ext cx="3781447" cy="544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13608</xdr:colOff>
      <xdr:row>1</xdr:row>
      <xdr:rowOff>176893</xdr:rowOff>
    </xdr:from>
    <xdr:to>
      <xdr:col>1</xdr:col>
      <xdr:colOff>1319893</xdr:colOff>
      <xdr:row>3</xdr:row>
      <xdr:rowOff>59786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46B24750-5DE6-4B94-8E32-02EC35EA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787" y="367393"/>
          <a:ext cx="1306285" cy="4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54431</xdr:colOff>
      <xdr:row>4</xdr:row>
      <xdr:rowOff>0</xdr:rowOff>
    </xdr:from>
    <xdr:to>
      <xdr:col>6</xdr:col>
      <xdr:colOff>843643</xdr:colOff>
      <xdr:row>6</xdr:row>
      <xdr:rowOff>81643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7D8D1BF4-EB33-47AC-8B1C-BBC6473A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95" y="1115786"/>
          <a:ext cx="3809998" cy="489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27215</xdr:colOff>
      <xdr:row>1</xdr:row>
      <xdr:rowOff>176892</xdr:rowOff>
    </xdr:from>
    <xdr:to>
      <xdr:col>1</xdr:col>
      <xdr:colOff>1319892</xdr:colOff>
      <xdr:row>3</xdr:row>
      <xdr:rowOff>97012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43CF7636-6245-4D5B-9965-DB658707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4" y="367392"/>
          <a:ext cx="1292677" cy="50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13610</xdr:colOff>
      <xdr:row>4</xdr:row>
      <xdr:rowOff>-1</xdr:rowOff>
    </xdr:from>
    <xdr:to>
      <xdr:col>6</xdr:col>
      <xdr:colOff>789214</xdr:colOff>
      <xdr:row>6</xdr:row>
      <xdr:rowOff>81643</xdr:rowOff>
    </xdr:to>
    <xdr:pic>
      <xdr:nvPicPr>
        <xdr:cNvPr id="2" name="Imatge 1" descr="C:\Users\mpadin\AppData\Local\Microsoft\Windows\Temporary Internet Files\Content.Outlook\TK477P5W\FEDER_senselema.jpg">
          <a:extLst>
            <a:ext uri="{FF2B5EF4-FFF2-40B4-BE49-F238E27FC236}">
              <a16:creationId xmlns:a16="http://schemas.microsoft.com/office/drawing/2014/main" id="{0E4A9F5A-504C-49E1-89C3-819DA159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074" y="1115785"/>
          <a:ext cx="3796390" cy="489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68035</xdr:colOff>
      <xdr:row>1</xdr:row>
      <xdr:rowOff>176893</xdr:rowOff>
    </xdr:from>
    <xdr:to>
      <xdr:col>1</xdr:col>
      <xdr:colOff>1333500</xdr:colOff>
      <xdr:row>3</xdr:row>
      <xdr:rowOff>84221</xdr:rowOff>
    </xdr:to>
    <xdr:pic>
      <xdr:nvPicPr>
        <xdr:cNvPr id="3" name="Imagen 5" descr="\\sfi03\usuaris\mtduran\Escritorio\Sin título-2-1.png">
          <a:extLst>
            <a:ext uri="{FF2B5EF4-FFF2-40B4-BE49-F238E27FC236}">
              <a16:creationId xmlns:a16="http://schemas.microsoft.com/office/drawing/2014/main" id="{A9C550D9-F145-4DD5-8F31-E9989E33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4" y="367393"/>
          <a:ext cx="1265465" cy="492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4591-85BA-432A-9590-E656566832BA}">
  <dimension ref="A1:BB56"/>
  <sheetViews>
    <sheetView tabSelected="1" zoomScale="70" zoomScaleNormal="70" workbookViewId="0">
      <selection activeCell="C9" sqref="C9"/>
    </sheetView>
  </sheetViews>
  <sheetFormatPr defaultColWidth="11.42578125" defaultRowHeight="15" x14ac:dyDescent="0.25"/>
  <cols>
    <col min="1" max="1" width="15" style="54" customWidth="1"/>
    <col min="2" max="2" width="19.5703125" style="54" customWidth="1"/>
    <col min="3" max="3" width="110.28515625" style="58" customWidth="1"/>
    <col min="4" max="4" width="16.42578125" style="54" customWidth="1"/>
    <col min="5" max="7" width="13.42578125" style="54" customWidth="1"/>
    <col min="8" max="8" width="13.5703125" style="54" customWidth="1"/>
    <col min="9" max="9" width="13.42578125" style="54" customWidth="1"/>
    <col min="10" max="10" width="13.5703125" style="54" customWidth="1"/>
    <col min="11" max="11" width="13.42578125" style="54" customWidth="1"/>
    <col min="12" max="52" width="11.42578125" style="54"/>
    <col min="53" max="53" width="0" style="54" hidden="1" customWidth="1"/>
    <col min="54" max="16384" width="11.42578125" style="54"/>
  </cols>
  <sheetData>
    <row r="1" spans="1:54" ht="21" customHeight="1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54" ht="13.5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54" ht="35.25" customHeight="1" x14ac:dyDescent="0.4">
      <c r="A3" s="55"/>
      <c r="B3" s="55"/>
      <c r="C3" s="185" t="s">
        <v>91</v>
      </c>
      <c r="D3" s="185"/>
      <c r="E3" s="185"/>
      <c r="F3" s="185"/>
      <c r="G3" s="185"/>
      <c r="H3" s="55"/>
      <c r="I3" s="55"/>
      <c r="J3" s="55"/>
      <c r="K3" s="55"/>
    </row>
    <row r="4" spans="1:54" s="186" customFormat="1" ht="21" customHeight="1" thickBot="1" x14ac:dyDescent="0.3"/>
    <row r="5" spans="1:54" s="89" customFormat="1" ht="21" customHeight="1" thickBot="1" x14ac:dyDescent="0.3">
      <c r="B5" s="56" t="s">
        <v>325</v>
      </c>
      <c r="C5" s="170"/>
    </row>
    <row r="6" spans="1:54" ht="16.5" thickBot="1" x14ac:dyDescent="0.3">
      <c r="B6" s="56" t="s">
        <v>83</v>
      </c>
      <c r="C6" s="90" t="str">
        <f>+CONCATENATE(codiexp1,"-00")</f>
        <v>-00</v>
      </c>
    </row>
    <row r="7" spans="1:54" ht="16.5" thickBot="1" x14ac:dyDescent="0.3">
      <c r="B7" s="56" t="s">
        <v>0</v>
      </c>
      <c r="C7" s="91"/>
    </row>
    <row r="8" spans="1:54" ht="16.5" thickBot="1" x14ac:dyDescent="0.3">
      <c r="B8" s="56" t="s">
        <v>80</v>
      </c>
      <c r="C8" s="92"/>
    </row>
    <row r="9" spans="1:54" ht="16.5" thickBot="1" x14ac:dyDescent="0.3">
      <c r="B9" s="56" t="s">
        <v>84</v>
      </c>
      <c r="C9" s="93"/>
    </row>
    <row r="10" spans="1:54" x14ac:dyDescent="0.25">
      <c r="B10" s="57"/>
    </row>
    <row r="11" spans="1:54" ht="15.75" thickBot="1" x14ac:dyDescent="0.3"/>
    <row r="12" spans="1:54" ht="32.25" thickBot="1" x14ac:dyDescent="0.3">
      <c r="A12" s="56" t="s">
        <v>90</v>
      </c>
      <c r="B12" s="56" t="s">
        <v>1</v>
      </c>
      <c r="C12" s="59" t="s">
        <v>2</v>
      </c>
      <c r="D12" s="59" t="s">
        <v>3</v>
      </c>
      <c r="E12" s="60">
        <v>2016</v>
      </c>
      <c r="F12" s="60">
        <v>2017</v>
      </c>
      <c r="G12" s="60">
        <v>2018</v>
      </c>
      <c r="H12" s="60">
        <v>2019</v>
      </c>
      <c r="I12" s="60">
        <v>2020</v>
      </c>
      <c r="J12" s="60">
        <v>2021</v>
      </c>
      <c r="K12" s="60">
        <v>2022</v>
      </c>
      <c r="L12" s="60">
        <v>2023</v>
      </c>
      <c r="BB12" s="54" t="s">
        <v>86</v>
      </c>
    </row>
    <row r="13" spans="1:54" x14ac:dyDescent="0.25">
      <c r="A13" s="187" t="s">
        <v>4</v>
      </c>
      <c r="B13" s="190" t="s">
        <v>5</v>
      </c>
      <c r="C13" s="192" t="s">
        <v>6</v>
      </c>
      <c r="D13" s="192" t="s">
        <v>7</v>
      </c>
      <c r="E13" s="180"/>
      <c r="F13" s="180"/>
      <c r="G13" s="194"/>
      <c r="H13" s="194"/>
      <c r="I13" s="194"/>
      <c r="J13" s="194"/>
      <c r="K13" s="194"/>
      <c r="L13" s="196"/>
      <c r="M13" s="61"/>
      <c r="BB13" s="54" t="s">
        <v>88</v>
      </c>
    </row>
    <row r="14" spans="1:54" ht="15.75" thickBot="1" x14ac:dyDescent="0.3">
      <c r="A14" s="188"/>
      <c r="B14" s="191"/>
      <c r="C14" s="193"/>
      <c r="D14" s="193"/>
      <c r="E14" s="181"/>
      <c r="F14" s="181"/>
      <c r="G14" s="195"/>
      <c r="H14" s="195"/>
      <c r="I14" s="195"/>
      <c r="J14" s="195"/>
      <c r="K14" s="195"/>
      <c r="L14" s="197"/>
      <c r="M14" s="61"/>
      <c r="BB14" s="54" t="s">
        <v>87</v>
      </c>
    </row>
    <row r="15" spans="1:54" x14ac:dyDescent="0.25">
      <c r="A15" s="188"/>
      <c r="B15" s="200" t="s">
        <v>8</v>
      </c>
      <c r="C15" s="192" t="s">
        <v>9</v>
      </c>
      <c r="D15" s="192" t="s">
        <v>10</v>
      </c>
      <c r="E15" s="182"/>
      <c r="F15" s="182"/>
      <c r="G15" s="198"/>
      <c r="H15" s="195"/>
      <c r="I15" s="195"/>
      <c r="J15" s="195"/>
      <c r="K15" s="195"/>
      <c r="L15" s="197"/>
      <c r="M15" s="61"/>
    </row>
    <row r="16" spans="1:54" ht="15.75" thickBot="1" x14ac:dyDescent="0.3">
      <c r="A16" s="188"/>
      <c r="B16" s="201"/>
      <c r="C16" s="193"/>
      <c r="D16" s="193"/>
      <c r="E16" s="183"/>
      <c r="F16" s="183"/>
      <c r="G16" s="199"/>
      <c r="H16" s="195"/>
      <c r="I16" s="195"/>
      <c r="J16" s="195"/>
      <c r="K16" s="195"/>
      <c r="L16" s="197"/>
      <c r="M16" s="61"/>
    </row>
    <row r="17" spans="1:13" x14ac:dyDescent="0.25">
      <c r="A17" s="188"/>
      <c r="B17" s="190" t="s">
        <v>11</v>
      </c>
      <c r="C17" s="192" t="s">
        <v>12</v>
      </c>
      <c r="D17" s="192" t="s">
        <v>13</v>
      </c>
      <c r="E17" s="182"/>
      <c r="F17" s="182"/>
      <c r="G17" s="198"/>
      <c r="H17" s="195"/>
      <c r="I17" s="195"/>
      <c r="J17" s="195"/>
      <c r="K17" s="195"/>
      <c r="L17" s="197"/>
      <c r="M17" s="61"/>
    </row>
    <row r="18" spans="1:13" ht="15.75" thickBot="1" x14ac:dyDescent="0.3">
      <c r="A18" s="188"/>
      <c r="B18" s="191"/>
      <c r="C18" s="193"/>
      <c r="D18" s="193"/>
      <c r="E18" s="183"/>
      <c r="F18" s="183"/>
      <c r="G18" s="199"/>
      <c r="H18" s="195"/>
      <c r="I18" s="195"/>
      <c r="J18" s="195"/>
      <c r="K18" s="195"/>
      <c r="L18" s="197"/>
      <c r="M18" s="61"/>
    </row>
    <row r="19" spans="1:13" x14ac:dyDescent="0.25">
      <c r="A19" s="188"/>
      <c r="B19" s="190" t="s">
        <v>14</v>
      </c>
      <c r="C19" s="192" t="s">
        <v>15</v>
      </c>
      <c r="D19" s="192" t="s">
        <v>16</v>
      </c>
      <c r="E19" s="182"/>
      <c r="F19" s="182"/>
      <c r="G19" s="198"/>
      <c r="H19" s="195"/>
      <c r="I19" s="195"/>
      <c r="J19" s="195"/>
      <c r="K19" s="195"/>
      <c r="L19" s="197"/>
      <c r="M19" s="61"/>
    </row>
    <row r="20" spans="1:13" ht="15.75" thickBot="1" x14ac:dyDescent="0.3">
      <c r="A20" s="188"/>
      <c r="B20" s="191"/>
      <c r="C20" s="193"/>
      <c r="D20" s="193"/>
      <c r="E20" s="183"/>
      <c r="F20" s="183"/>
      <c r="G20" s="199"/>
      <c r="H20" s="195"/>
      <c r="I20" s="195"/>
      <c r="J20" s="195"/>
      <c r="K20" s="195"/>
      <c r="L20" s="197"/>
      <c r="M20" s="61"/>
    </row>
    <row r="21" spans="1:13" x14ac:dyDescent="0.25">
      <c r="A21" s="188"/>
      <c r="B21" s="190" t="s">
        <v>17</v>
      </c>
      <c r="C21" s="192" t="s">
        <v>18</v>
      </c>
      <c r="D21" s="192" t="s">
        <v>19</v>
      </c>
      <c r="E21" s="182"/>
      <c r="F21" s="182"/>
      <c r="G21" s="198"/>
      <c r="H21" s="195"/>
      <c r="I21" s="195"/>
      <c r="J21" s="195"/>
      <c r="K21" s="195"/>
      <c r="L21" s="197"/>
      <c r="M21" s="61"/>
    </row>
    <row r="22" spans="1:13" ht="15.75" thickBot="1" x14ac:dyDescent="0.3">
      <c r="A22" s="188"/>
      <c r="B22" s="191"/>
      <c r="C22" s="193"/>
      <c r="D22" s="193"/>
      <c r="E22" s="183"/>
      <c r="F22" s="183"/>
      <c r="G22" s="199"/>
      <c r="H22" s="195"/>
      <c r="I22" s="195"/>
      <c r="J22" s="195"/>
      <c r="K22" s="195"/>
      <c r="L22" s="197"/>
      <c r="M22" s="61"/>
    </row>
    <row r="23" spans="1:13" x14ac:dyDescent="0.25">
      <c r="A23" s="188"/>
      <c r="B23" s="190" t="s">
        <v>20</v>
      </c>
      <c r="C23" s="192" t="s">
        <v>21</v>
      </c>
      <c r="D23" s="192" t="s">
        <v>22</v>
      </c>
      <c r="E23" s="182"/>
      <c r="F23" s="182"/>
      <c r="G23" s="198"/>
      <c r="H23" s="195"/>
      <c r="I23" s="195"/>
      <c r="J23" s="195"/>
      <c r="K23" s="195"/>
      <c r="L23" s="197"/>
      <c r="M23" s="61"/>
    </row>
    <row r="24" spans="1:13" ht="15.75" thickBot="1" x14ac:dyDescent="0.3">
      <c r="A24" s="188"/>
      <c r="B24" s="191"/>
      <c r="C24" s="193"/>
      <c r="D24" s="193"/>
      <c r="E24" s="183"/>
      <c r="F24" s="183"/>
      <c r="G24" s="199"/>
      <c r="H24" s="195"/>
      <c r="I24" s="195"/>
      <c r="J24" s="195"/>
      <c r="K24" s="195"/>
      <c r="L24" s="197"/>
      <c r="M24" s="61"/>
    </row>
    <row r="25" spans="1:13" x14ac:dyDescent="0.25">
      <c r="A25" s="188"/>
      <c r="B25" s="200" t="s">
        <v>23</v>
      </c>
      <c r="C25" s="192" t="s">
        <v>24</v>
      </c>
      <c r="D25" s="192" t="s">
        <v>19</v>
      </c>
      <c r="E25" s="182"/>
      <c r="F25" s="182"/>
      <c r="G25" s="198"/>
      <c r="H25" s="195"/>
      <c r="I25" s="195"/>
      <c r="J25" s="195"/>
      <c r="K25" s="195"/>
      <c r="L25" s="197"/>
      <c r="M25" s="61"/>
    </row>
    <row r="26" spans="1:13" ht="15.75" thickBot="1" x14ac:dyDescent="0.3">
      <c r="A26" s="189"/>
      <c r="B26" s="201"/>
      <c r="C26" s="193"/>
      <c r="D26" s="193"/>
      <c r="E26" s="183"/>
      <c r="F26" s="183"/>
      <c r="G26" s="199"/>
      <c r="H26" s="195"/>
      <c r="I26" s="195"/>
      <c r="J26" s="195"/>
      <c r="K26" s="195"/>
      <c r="L26" s="197"/>
      <c r="M26" s="61"/>
    </row>
    <row r="27" spans="1:13" x14ac:dyDescent="0.25">
      <c r="A27" s="187" t="s">
        <v>25</v>
      </c>
      <c r="B27" s="192" t="s">
        <v>26</v>
      </c>
      <c r="C27" s="192" t="s">
        <v>27</v>
      </c>
      <c r="D27" s="192" t="s">
        <v>13</v>
      </c>
      <c r="E27" s="182"/>
      <c r="F27" s="182"/>
      <c r="G27" s="198"/>
      <c r="H27" s="195"/>
      <c r="I27" s="195"/>
      <c r="J27" s="195"/>
      <c r="K27" s="195"/>
      <c r="L27" s="197"/>
      <c r="M27" s="61"/>
    </row>
    <row r="28" spans="1:13" ht="23.25" customHeight="1" thickBot="1" x14ac:dyDescent="0.3">
      <c r="A28" s="189"/>
      <c r="B28" s="193"/>
      <c r="C28" s="193"/>
      <c r="D28" s="193"/>
      <c r="E28" s="202"/>
      <c r="F28" s="202"/>
      <c r="G28" s="204"/>
      <c r="H28" s="205"/>
      <c r="I28" s="205"/>
      <c r="J28" s="205"/>
      <c r="K28" s="205"/>
      <c r="L28" s="203"/>
      <c r="M28" s="61"/>
    </row>
    <row r="29" spans="1:13" ht="32.25" thickBot="1" x14ac:dyDescent="0.3">
      <c r="A29" s="56" t="s">
        <v>89</v>
      </c>
      <c r="B29" s="56" t="s">
        <v>1</v>
      </c>
      <c r="C29" s="59" t="s">
        <v>2</v>
      </c>
      <c r="D29" s="59" t="s">
        <v>3</v>
      </c>
      <c r="E29" s="60">
        <v>2016</v>
      </c>
      <c r="F29" s="60">
        <v>2017</v>
      </c>
      <c r="G29" s="60">
        <v>2018</v>
      </c>
      <c r="H29" s="60">
        <v>2019</v>
      </c>
      <c r="I29" s="60">
        <v>2020</v>
      </c>
      <c r="J29" s="60">
        <v>2021</v>
      </c>
      <c r="K29" s="60">
        <v>2022</v>
      </c>
      <c r="L29" s="60">
        <v>2023</v>
      </c>
      <c r="M29" s="61"/>
    </row>
    <row r="30" spans="1:13" ht="26.25" customHeight="1" thickBot="1" x14ac:dyDescent="0.3">
      <c r="B30" s="62" t="s">
        <v>28</v>
      </c>
      <c r="C30" s="63" t="s">
        <v>29</v>
      </c>
      <c r="D30" s="64" t="s">
        <v>13</v>
      </c>
      <c r="E30" s="178"/>
      <c r="F30" s="106"/>
      <c r="G30" s="107"/>
      <c r="H30" s="107"/>
      <c r="I30" s="107"/>
      <c r="J30" s="107"/>
      <c r="K30" s="107"/>
      <c r="L30" s="108"/>
      <c r="M30" s="61"/>
    </row>
    <row r="31" spans="1:13" ht="28.5" customHeight="1" thickBot="1" x14ac:dyDescent="0.3">
      <c r="B31" s="65" t="s">
        <v>30</v>
      </c>
      <c r="C31" s="66" t="s">
        <v>31</v>
      </c>
      <c r="D31" s="67" t="s">
        <v>13</v>
      </c>
      <c r="E31" s="179"/>
      <c r="F31" s="109"/>
      <c r="G31" s="94"/>
      <c r="H31" s="94"/>
      <c r="I31" s="94"/>
      <c r="J31" s="94"/>
      <c r="K31" s="94"/>
      <c r="L31" s="110"/>
      <c r="M31" s="61"/>
    </row>
    <row r="32" spans="1:13" ht="26.25" customHeight="1" thickBot="1" x14ac:dyDescent="0.3">
      <c r="B32" s="65" t="s">
        <v>32</v>
      </c>
      <c r="C32" s="66" t="s">
        <v>33</v>
      </c>
      <c r="D32" s="67" t="s">
        <v>16</v>
      </c>
      <c r="E32" s="179"/>
      <c r="F32" s="109"/>
      <c r="G32" s="94"/>
      <c r="H32" s="94"/>
      <c r="I32" s="94"/>
      <c r="J32" s="94"/>
      <c r="K32" s="94"/>
      <c r="L32" s="110"/>
      <c r="M32" s="61"/>
    </row>
    <row r="33" spans="2:13" ht="26.25" customHeight="1" thickBot="1" x14ac:dyDescent="0.3">
      <c r="B33" s="68" t="s">
        <v>34</v>
      </c>
      <c r="C33" s="66" t="s">
        <v>35</v>
      </c>
      <c r="D33" s="67" t="s">
        <v>16</v>
      </c>
      <c r="E33" s="179"/>
      <c r="F33" s="109"/>
      <c r="G33" s="94"/>
      <c r="H33" s="94"/>
      <c r="I33" s="94"/>
      <c r="J33" s="94"/>
      <c r="K33" s="94"/>
      <c r="L33" s="110"/>
      <c r="M33" s="61"/>
    </row>
    <row r="34" spans="2:13" ht="26.25" customHeight="1" thickBot="1" x14ac:dyDescent="0.3">
      <c r="B34" s="68" t="s">
        <v>36</v>
      </c>
      <c r="C34" s="66" t="s">
        <v>37</v>
      </c>
      <c r="D34" s="67" t="s">
        <v>16</v>
      </c>
      <c r="E34" s="179"/>
      <c r="F34" s="109"/>
      <c r="G34" s="94"/>
      <c r="H34" s="94"/>
      <c r="I34" s="94"/>
      <c r="J34" s="94"/>
      <c r="K34" s="94"/>
      <c r="L34" s="110"/>
      <c r="M34" s="61"/>
    </row>
    <row r="35" spans="2:13" ht="26.25" customHeight="1" thickBot="1" x14ac:dyDescent="0.3">
      <c r="B35" s="68" t="s">
        <v>38</v>
      </c>
      <c r="C35" s="69" t="s">
        <v>39</v>
      </c>
      <c r="D35" s="67" t="s">
        <v>16</v>
      </c>
      <c r="E35" s="179"/>
      <c r="F35" s="109"/>
      <c r="G35" s="94"/>
      <c r="H35" s="94"/>
      <c r="I35" s="94"/>
      <c r="J35" s="94"/>
      <c r="K35" s="94"/>
      <c r="L35" s="110"/>
      <c r="M35" s="61"/>
    </row>
    <row r="36" spans="2:13" ht="26.25" customHeight="1" thickBot="1" x14ac:dyDescent="0.3">
      <c r="B36" s="68" t="s">
        <v>40</v>
      </c>
      <c r="C36" s="69" t="s">
        <v>41</v>
      </c>
      <c r="D36" s="67" t="s">
        <v>16</v>
      </c>
      <c r="E36" s="179"/>
      <c r="F36" s="109"/>
      <c r="G36" s="94"/>
      <c r="H36" s="94"/>
      <c r="I36" s="94"/>
      <c r="J36" s="94"/>
      <c r="K36" s="94"/>
      <c r="L36" s="110"/>
      <c r="M36" s="61"/>
    </row>
    <row r="37" spans="2:13" ht="26.25" customHeight="1" thickBot="1" x14ac:dyDescent="0.3">
      <c r="B37" s="68" t="s">
        <v>42</v>
      </c>
      <c r="C37" s="66" t="s">
        <v>43</v>
      </c>
      <c r="D37" s="70" t="s">
        <v>16</v>
      </c>
      <c r="E37" s="179"/>
      <c r="F37" s="109"/>
      <c r="G37" s="94"/>
      <c r="H37" s="94"/>
      <c r="I37" s="94"/>
      <c r="J37" s="94"/>
      <c r="K37" s="94"/>
      <c r="L37" s="110"/>
      <c r="M37" s="61"/>
    </row>
    <row r="38" spans="2:13" ht="26.25" customHeight="1" thickBot="1" x14ac:dyDescent="0.3">
      <c r="B38" s="68" t="s">
        <v>44</v>
      </c>
      <c r="C38" s="66" t="s">
        <v>45</v>
      </c>
      <c r="D38" s="71" t="s">
        <v>16</v>
      </c>
      <c r="E38" s="179"/>
      <c r="F38" s="109"/>
      <c r="G38" s="94"/>
      <c r="H38" s="94"/>
      <c r="I38" s="94"/>
      <c r="J38" s="94"/>
      <c r="K38" s="94"/>
      <c r="L38" s="110"/>
      <c r="M38" s="61"/>
    </row>
    <row r="39" spans="2:13" ht="26.25" customHeight="1" thickBot="1" x14ac:dyDescent="0.3">
      <c r="B39" s="68" t="s">
        <v>46</v>
      </c>
      <c r="C39" s="66" t="s">
        <v>47</v>
      </c>
      <c r="D39" s="70" t="s">
        <v>16</v>
      </c>
      <c r="E39" s="179"/>
      <c r="F39" s="109"/>
      <c r="G39" s="94"/>
      <c r="H39" s="94"/>
      <c r="I39" s="94"/>
      <c r="J39" s="94"/>
      <c r="K39" s="94"/>
      <c r="L39" s="110"/>
      <c r="M39" s="61"/>
    </row>
    <row r="40" spans="2:13" ht="26.25" customHeight="1" thickBot="1" x14ac:dyDescent="0.3">
      <c r="B40" s="68" t="s">
        <v>48</v>
      </c>
      <c r="C40" s="66" t="s">
        <v>49</v>
      </c>
      <c r="D40" s="72" t="s">
        <v>16</v>
      </c>
      <c r="E40" s="179"/>
      <c r="F40" s="109"/>
      <c r="G40" s="94"/>
      <c r="H40" s="94"/>
      <c r="I40" s="94"/>
      <c r="J40" s="94"/>
      <c r="K40" s="94"/>
      <c r="L40" s="110"/>
      <c r="M40" s="61"/>
    </row>
    <row r="41" spans="2:13" ht="26.25" customHeight="1" thickBot="1" x14ac:dyDescent="0.3">
      <c r="B41" s="68" t="s">
        <v>50</v>
      </c>
      <c r="C41" s="66" t="s">
        <v>51</v>
      </c>
      <c r="D41" s="72" t="s">
        <v>16</v>
      </c>
      <c r="E41" s="179"/>
      <c r="F41" s="109"/>
      <c r="G41" s="94"/>
      <c r="H41" s="94"/>
      <c r="I41" s="94"/>
      <c r="J41" s="94"/>
      <c r="K41" s="94"/>
      <c r="L41" s="110"/>
      <c r="M41" s="61"/>
    </row>
    <row r="42" spans="2:13" ht="26.25" customHeight="1" thickBot="1" x14ac:dyDescent="0.3">
      <c r="B42" s="68" t="s">
        <v>52</v>
      </c>
      <c r="C42" s="66" t="s">
        <v>53</v>
      </c>
      <c r="D42" s="70" t="s">
        <v>16</v>
      </c>
      <c r="E42" s="179"/>
      <c r="F42" s="109"/>
      <c r="G42" s="94"/>
      <c r="H42" s="94"/>
      <c r="I42" s="94"/>
      <c r="J42" s="94"/>
      <c r="K42" s="94"/>
      <c r="L42" s="110"/>
      <c r="M42" s="61"/>
    </row>
    <row r="43" spans="2:13" ht="26.25" customHeight="1" thickBot="1" x14ac:dyDescent="0.3">
      <c r="B43" s="68" t="s">
        <v>54</v>
      </c>
      <c r="C43" s="66" t="s">
        <v>55</v>
      </c>
      <c r="D43" s="70" t="s">
        <v>16</v>
      </c>
      <c r="E43" s="179"/>
      <c r="F43" s="109"/>
      <c r="G43" s="94"/>
      <c r="H43" s="94"/>
      <c r="I43" s="94"/>
      <c r="J43" s="94"/>
      <c r="K43" s="94"/>
      <c r="L43" s="110"/>
      <c r="M43" s="61"/>
    </row>
    <row r="44" spans="2:13" ht="26.25" customHeight="1" thickBot="1" x14ac:dyDescent="0.3">
      <c r="B44" s="68" t="s">
        <v>56</v>
      </c>
      <c r="C44" s="66" t="s">
        <v>57</v>
      </c>
      <c r="D44" s="70" t="s">
        <v>16</v>
      </c>
      <c r="E44" s="179"/>
      <c r="F44" s="109"/>
      <c r="G44" s="94"/>
      <c r="H44" s="94"/>
      <c r="I44" s="94"/>
      <c r="J44" s="94"/>
      <c r="K44" s="94"/>
      <c r="L44" s="110"/>
      <c r="M44" s="61"/>
    </row>
    <row r="45" spans="2:13" ht="24" customHeight="1" thickBot="1" x14ac:dyDescent="0.3">
      <c r="B45" s="68" t="s">
        <v>58</v>
      </c>
      <c r="C45" s="66" t="s">
        <v>59</v>
      </c>
      <c r="D45" s="70" t="s">
        <v>16</v>
      </c>
      <c r="E45" s="179"/>
      <c r="F45" s="109"/>
      <c r="G45" s="94"/>
      <c r="H45" s="94"/>
      <c r="I45" s="94"/>
      <c r="J45" s="94"/>
      <c r="K45" s="94"/>
      <c r="L45" s="110"/>
      <c r="M45" s="61"/>
    </row>
    <row r="46" spans="2:13" ht="25.5" customHeight="1" thickBot="1" x14ac:dyDescent="0.3">
      <c r="B46" s="68" t="s">
        <v>60</v>
      </c>
      <c r="C46" s="66" t="s">
        <v>61</v>
      </c>
      <c r="D46" s="70" t="s">
        <v>16</v>
      </c>
      <c r="E46" s="179"/>
      <c r="F46" s="109"/>
      <c r="G46" s="94"/>
      <c r="H46" s="94"/>
      <c r="I46" s="94"/>
      <c r="J46" s="94"/>
      <c r="K46" s="94"/>
      <c r="L46" s="110"/>
      <c r="M46" s="61"/>
    </row>
    <row r="47" spans="2:13" ht="26.25" customHeight="1" thickBot="1" x14ac:dyDescent="0.3">
      <c r="B47" s="68" t="s">
        <v>62</v>
      </c>
      <c r="C47" s="66" t="s">
        <v>63</v>
      </c>
      <c r="D47" s="70" t="s">
        <v>16</v>
      </c>
      <c r="E47" s="179"/>
      <c r="F47" s="109"/>
      <c r="G47" s="94"/>
      <c r="H47" s="94"/>
      <c r="I47" s="94"/>
      <c r="J47" s="94"/>
      <c r="K47" s="94"/>
      <c r="L47" s="110"/>
      <c r="M47" s="61"/>
    </row>
    <row r="48" spans="2:13" ht="25.5" customHeight="1" thickBot="1" x14ac:dyDescent="0.3">
      <c r="B48" s="68" t="s">
        <v>64</v>
      </c>
      <c r="C48" s="66" t="s">
        <v>65</v>
      </c>
      <c r="D48" s="70" t="s">
        <v>16</v>
      </c>
      <c r="E48" s="179"/>
      <c r="F48" s="109"/>
      <c r="G48" s="94"/>
      <c r="H48" s="94"/>
      <c r="I48" s="94"/>
      <c r="J48" s="94"/>
      <c r="K48" s="94"/>
      <c r="L48" s="110"/>
      <c r="M48" s="61"/>
    </row>
    <row r="49" spans="2:13" ht="25.5" customHeight="1" thickBot="1" x14ac:dyDescent="0.3">
      <c r="B49" s="68" t="s">
        <v>66</v>
      </c>
      <c r="C49" s="73" t="s">
        <v>67</v>
      </c>
      <c r="D49" s="74" t="s">
        <v>16</v>
      </c>
      <c r="E49" s="179"/>
      <c r="F49" s="109"/>
      <c r="G49" s="94"/>
      <c r="H49" s="94"/>
      <c r="I49" s="94"/>
      <c r="J49" s="94"/>
      <c r="K49" s="94"/>
      <c r="L49" s="110"/>
      <c r="M49" s="61"/>
    </row>
    <row r="50" spans="2:13" ht="25.5" customHeight="1" thickBot="1" x14ac:dyDescent="0.3">
      <c r="B50" s="68" t="s">
        <v>68</v>
      </c>
      <c r="C50" s="73" t="s">
        <v>69</v>
      </c>
      <c r="D50" s="75" t="s">
        <v>16</v>
      </c>
      <c r="E50" s="179"/>
      <c r="F50" s="109"/>
      <c r="G50" s="94"/>
      <c r="H50" s="94"/>
      <c r="I50" s="94"/>
      <c r="J50" s="94"/>
      <c r="K50" s="94"/>
      <c r="L50" s="110"/>
      <c r="M50" s="61"/>
    </row>
    <row r="51" spans="2:13" ht="26.25" customHeight="1" thickBot="1" x14ac:dyDescent="0.3">
      <c r="B51" s="68" t="s">
        <v>70</v>
      </c>
      <c r="C51" s="66" t="s">
        <v>71</v>
      </c>
      <c r="D51" s="67" t="s">
        <v>16</v>
      </c>
      <c r="E51" s="179"/>
      <c r="F51" s="109"/>
      <c r="G51" s="94"/>
      <c r="H51" s="94"/>
      <c r="I51" s="94"/>
      <c r="J51" s="94"/>
      <c r="K51" s="94"/>
      <c r="L51" s="110"/>
      <c r="M51" s="61"/>
    </row>
    <row r="52" spans="2:13" ht="25.5" customHeight="1" thickBot="1" x14ac:dyDescent="0.3">
      <c r="B52" s="68" t="s">
        <v>72</v>
      </c>
      <c r="C52" s="73" t="s">
        <v>73</v>
      </c>
      <c r="D52" s="67" t="s">
        <v>16</v>
      </c>
      <c r="E52" s="179"/>
      <c r="F52" s="109"/>
      <c r="G52" s="94"/>
      <c r="H52" s="94"/>
      <c r="I52" s="94"/>
      <c r="J52" s="94"/>
      <c r="K52" s="94"/>
      <c r="L52" s="110"/>
      <c r="M52" s="61"/>
    </row>
    <row r="53" spans="2:13" ht="26.25" customHeight="1" thickBot="1" x14ac:dyDescent="0.3">
      <c r="B53" s="68" t="s">
        <v>74</v>
      </c>
      <c r="C53" s="73" t="s">
        <v>75</v>
      </c>
      <c r="D53" s="67" t="s">
        <v>16</v>
      </c>
      <c r="E53" s="179"/>
      <c r="F53" s="109"/>
      <c r="G53" s="94"/>
      <c r="H53" s="94"/>
      <c r="I53" s="94"/>
      <c r="J53" s="94"/>
      <c r="K53" s="94"/>
      <c r="L53" s="110"/>
      <c r="M53" s="61"/>
    </row>
    <row r="54" spans="2:13" ht="31.5" customHeight="1" thickBot="1" x14ac:dyDescent="0.3">
      <c r="B54" s="68" t="s">
        <v>76</v>
      </c>
      <c r="C54" s="66" t="s">
        <v>77</v>
      </c>
      <c r="D54" s="67" t="s">
        <v>16</v>
      </c>
      <c r="E54" s="111"/>
      <c r="F54" s="111"/>
      <c r="G54" s="112"/>
      <c r="H54" s="112"/>
      <c r="I54" s="112"/>
      <c r="J54" s="112"/>
      <c r="K54" s="112"/>
      <c r="L54" s="113"/>
      <c r="M54" s="61"/>
    </row>
    <row r="55" spans="2:13" x14ac:dyDescent="0.25">
      <c r="B55" s="76"/>
      <c r="E55" s="61"/>
      <c r="F55" s="61"/>
      <c r="G55" s="61"/>
      <c r="H55" s="61"/>
      <c r="I55" s="61"/>
      <c r="J55" s="61"/>
      <c r="K55" s="61"/>
      <c r="L55" s="61"/>
    </row>
    <row r="56" spans="2:13" x14ac:dyDescent="0.25">
      <c r="E56" s="61"/>
      <c r="F56" s="61"/>
      <c r="G56" s="61"/>
      <c r="H56" s="61"/>
      <c r="I56" s="61"/>
      <c r="J56" s="61"/>
      <c r="K56" s="61"/>
      <c r="L56" s="61"/>
    </row>
  </sheetData>
  <sheetProtection algorithmName="SHA-512" hashValue="pimOm4l8PCi4aJJ/8veHJddWvXnCVHBdjIwRJR7bCrE6ahXrjs2oAx7DSMNB90O7ggj/rMVmM4sofyD9ttl45g==" saltValue="WljQrRXMTkK6dqNLB/gHxA==" spinCount="100000" sheet="1" selectLockedCells="1"/>
  <mergeCells count="93">
    <mergeCell ref="L27:L28"/>
    <mergeCell ref="G27:G28"/>
    <mergeCell ref="H27:H28"/>
    <mergeCell ref="I27:I28"/>
    <mergeCell ref="J27:J28"/>
    <mergeCell ref="K27:K28"/>
    <mergeCell ref="A27:A28"/>
    <mergeCell ref="B27:B28"/>
    <mergeCell ref="C27:C28"/>
    <mergeCell ref="D27:D28"/>
    <mergeCell ref="F27:F28"/>
    <mergeCell ref="E27:E28"/>
    <mergeCell ref="H25:H26"/>
    <mergeCell ref="I25:I26"/>
    <mergeCell ref="J25:J26"/>
    <mergeCell ref="K25:K26"/>
    <mergeCell ref="L25:L26"/>
    <mergeCell ref="B25:B26"/>
    <mergeCell ref="C25:C26"/>
    <mergeCell ref="D25:D26"/>
    <mergeCell ref="F25:F26"/>
    <mergeCell ref="G25:G26"/>
    <mergeCell ref="E25:E26"/>
    <mergeCell ref="H23:H24"/>
    <mergeCell ref="I23:I24"/>
    <mergeCell ref="J23:J24"/>
    <mergeCell ref="K23:K24"/>
    <mergeCell ref="L23:L24"/>
    <mergeCell ref="B23:B24"/>
    <mergeCell ref="C23:C24"/>
    <mergeCell ref="D23:D24"/>
    <mergeCell ref="F23:F24"/>
    <mergeCell ref="G23:G24"/>
    <mergeCell ref="E23:E24"/>
    <mergeCell ref="H21:H22"/>
    <mergeCell ref="I21:I22"/>
    <mergeCell ref="J21:J22"/>
    <mergeCell ref="K21:K22"/>
    <mergeCell ref="L21:L22"/>
    <mergeCell ref="B21:B22"/>
    <mergeCell ref="C21:C22"/>
    <mergeCell ref="D21:D22"/>
    <mergeCell ref="F21:F22"/>
    <mergeCell ref="G21:G22"/>
    <mergeCell ref="H19:H20"/>
    <mergeCell ref="I19:I20"/>
    <mergeCell ref="J19:J20"/>
    <mergeCell ref="K19:K20"/>
    <mergeCell ref="L19:L20"/>
    <mergeCell ref="D15:D16"/>
    <mergeCell ref="F15:F16"/>
    <mergeCell ref="G15:G16"/>
    <mergeCell ref="B19:B20"/>
    <mergeCell ref="C19:C20"/>
    <mergeCell ref="D19:D20"/>
    <mergeCell ref="F19:F20"/>
    <mergeCell ref="G19:G20"/>
    <mergeCell ref="B17:B18"/>
    <mergeCell ref="C17:C18"/>
    <mergeCell ref="D17:D18"/>
    <mergeCell ref="F17:F18"/>
    <mergeCell ref="G17:G18"/>
    <mergeCell ref="B15:B16"/>
    <mergeCell ref="C15:C16"/>
    <mergeCell ref="L15:L16"/>
    <mergeCell ref="H17:H18"/>
    <mergeCell ref="I17:I18"/>
    <mergeCell ref="J17:J18"/>
    <mergeCell ref="K17:K18"/>
    <mergeCell ref="L17:L18"/>
    <mergeCell ref="H15:H16"/>
    <mergeCell ref="I15:I16"/>
    <mergeCell ref="A1:K2"/>
    <mergeCell ref="C3:G3"/>
    <mergeCell ref="A4:XFD4"/>
    <mergeCell ref="A13:A26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L13:L14"/>
    <mergeCell ref="J15:J16"/>
    <mergeCell ref="K15:K16"/>
    <mergeCell ref="E13:E14"/>
    <mergeCell ref="E15:E16"/>
    <mergeCell ref="E17:E18"/>
    <mergeCell ref="E19:E20"/>
    <mergeCell ref="E21:E22"/>
  </mergeCells>
  <dataValidations count="12">
    <dataValidation type="textLength" allowBlank="1" showInputMessage="1" showErrorMessage="1" error="El NIF introduit no és vàlid " sqref="C8" xr:uid="{0FEA2D0F-E73F-4434-9852-D9AA28B5BBB4}">
      <formula1>9</formula1>
      <formula2>9</formula2>
    </dataValidation>
    <dataValidation type="whole" allowBlank="1" showInputMessage="1" showErrorMessage="1" error="Valor=0" sqref="F19:L20" xr:uid="{92A28CDE-FAD0-4379-BBB7-E26B6D521E99}">
      <formula1>0</formula1>
      <formula2>0</formula2>
    </dataValidation>
    <dataValidation type="whole" allowBlank="1" showInputMessage="1" showErrorMessage="1" error="Valor= 1" sqref="F44:L44" xr:uid="{4C17C2B6-3597-4C84-8482-FBE31EAF4A61}">
      <formula1>1</formula1>
      <formula2>1</formula2>
    </dataValidation>
    <dataValidation type="whole" allowBlank="1" showInputMessage="1" showErrorMessage="1" error="Valor= 0 o 1 " sqref="F35:L36 F40:L40 F13:L16" xr:uid="{50E283C5-8B1F-4DAF-8C82-2D0B5CC3D4D9}">
      <formula1>0</formula1>
      <formula2>1</formula2>
    </dataValidation>
    <dataValidation type="whole" allowBlank="1" showInputMessage="1" showErrorMessage="1" error="Valor= 0 o 1 _x000a_" sqref="F47:L54" xr:uid="{F1BE23AF-FB73-4ED1-B452-ADD0FDF6CC33}">
      <formula1>0</formula1>
      <formula2>1</formula2>
    </dataValidation>
    <dataValidation type="list" allowBlank="1" showInputMessage="1" showErrorMessage="1" sqref="C9" xr:uid="{D7C1297B-1A0B-4314-ABE7-C90A44DD59AA}">
      <formula1>$BB$12:$BB$14</formula1>
    </dataValidation>
    <dataValidation type="whole" allowBlank="1" showInputMessage="1" showErrorMessage="1" errorTitle="Valor = 0 o 1" error="Valor = 0 o 1" sqref="E15:E16" xr:uid="{70F65BAF-5698-40C7-8751-5DBEDC3CDF27}">
      <formula1>0</formula1>
      <formula2>1</formula2>
    </dataValidation>
    <dataValidation type="whole" allowBlank="1" showInputMessage="1" showErrorMessage="1" error="Valor = 0 o 1" sqref="E13:E14" xr:uid="{E2A310E0-3AB1-4192-94A5-566F158FD134}">
      <formula1>0</formula1>
      <formula2>1</formula2>
    </dataValidation>
    <dataValidation type="whole" operator="equal" allowBlank="1" showInputMessage="1" showErrorMessage="1" errorTitle="Valor=0" error="Valor=0" sqref="E19:E20" xr:uid="{35DC45B2-44BC-4FFA-B1E7-048A398286B7}">
      <formula1>0</formula1>
    </dataValidation>
    <dataValidation type="whole" allowBlank="1" showInputMessage="1" showErrorMessage="1" errorTitle="Valor=0 o 1" error="Valor=0 o 1" sqref="E35" xr:uid="{2ABDBD66-0158-44D3-AFDF-8FDA07346909}">
      <formula1>0</formula1>
      <formula2>1</formula2>
    </dataValidation>
    <dataValidation type="whole" allowBlank="1" showInputMessage="1" showErrorMessage="1" error="Valor=0 o 1" sqref="E40 E47 E48 E49 E50 E51 E52 E53 E54" xr:uid="{CE3847CF-E06B-49FF-8376-422FCABB0C2E}">
      <formula1>0</formula1>
      <formula2>1</formula2>
    </dataValidation>
    <dataValidation type="whole" operator="equal" allowBlank="1" showInputMessage="1" showErrorMessage="1" error="Valor=1" sqref="E44" xr:uid="{E1FC37DC-4F27-4D0B-8FD2-36EFBBA1ACE3}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4717-894A-40F0-A695-4D8A3697FD8F}">
  <dimension ref="A1:BB56"/>
  <sheetViews>
    <sheetView topLeftCell="B7"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77">
        <f>codiexp1</f>
        <v>0</v>
      </c>
      <c r="BB5" s="4">
        <v>3</v>
      </c>
    </row>
    <row r="6" spans="1:54" ht="16.5" thickBot="1" x14ac:dyDescent="0.3">
      <c r="B6" s="2" t="s">
        <v>83</v>
      </c>
      <c r="C6" s="88" t="str">
        <f>+CONCATENATE(C5,"-09")</f>
        <v>0-09</v>
      </c>
    </row>
    <row r="7" spans="1:54" ht="16.5" thickBot="1" x14ac:dyDescent="0.3">
      <c r="B7" s="2" t="s">
        <v>0</v>
      </c>
      <c r="C7" s="114"/>
    </row>
    <row r="8" spans="1:54" ht="16.5" thickBot="1" x14ac:dyDescent="0.3">
      <c r="B8" s="2" t="s">
        <v>80</v>
      </c>
      <c r="C8" s="114"/>
    </row>
    <row r="9" spans="1:54" ht="16.5" thickBot="1" x14ac:dyDescent="0.3">
      <c r="B9" s="2" t="s">
        <v>84</v>
      </c>
      <c r="C9" s="79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105" t="s">
        <v>3</v>
      </c>
      <c r="E11" s="105">
        <v>2016</v>
      </c>
      <c r="F11" s="2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L11" s="3">
        <v>2023</v>
      </c>
    </row>
    <row r="12" spans="1:54" ht="15.75" customHeight="1" x14ac:dyDescent="0.25">
      <c r="A12" s="235" t="s">
        <v>4</v>
      </c>
      <c r="B12" s="212" t="s">
        <v>5</v>
      </c>
      <c r="C12" s="214" t="s">
        <v>6</v>
      </c>
      <c r="D12" s="261" t="s">
        <v>7</v>
      </c>
      <c r="E12" s="208"/>
      <c r="F12" s="271"/>
      <c r="G12" s="224"/>
      <c r="H12" s="224"/>
      <c r="I12" s="224"/>
      <c r="J12" s="224"/>
      <c r="K12" s="224"/>
      <c r="L12" s="272"/>
      <c r="M12" s="39"/>
      <c r="N12" s="39"/>
      <c r="O12" s="39"/>
    </row>
    <row r="13" spans="1:54" ht="16.5" customHeight="1" thickBot="1" x14ac:dyDescent="0.3">
      <c r="A13" s="236"/>
      <c r="B13" s="213"/>
      <c r="C13" s="215"/>
      <c r="D13" s="262"/>
      <c r="E13" s="208"/>
      <c r="F13" s="208"/>
      <c r="G13" s="206"/>
      <c r="H13" s="206"/>
      <c r="I13" s="206"/>
      <c r="J13" s="206"/>
      <c r="K13" s="206"/>
      <c r="L13" s="220"/>
      <c r="M13" s="39"/>
      <c r="N13" s="39"/>
      <c r="O13" s="39"/>
    </row>
    <row r="14" spans="1:54" ht="15" customHeight="1" x14ac:dyDescent="0.25">
      <c r="A14" s="236"/>
      <c r="B14" s="212" t="s">
        <v>8</v>
      </c>
      <c r="C14" s="214" t="s">
        <v>9</v>
      </c>
      <c r="D14" s="261" t="s">
        <v>10</v>
      </c>
      <c r="E14" s="208"/>
      <c r="F14" s="208"/>
      <c r="G14" s="206"/>
      <c r="H14" s="206"/>
      <c r="I14" s="206"/>
      <c r="J14" s="206"/>
      <c r="K14" s="206"/>
      <c r="L14" s="220"/>
      <c r="M14" s="39"/>
      <c r="N14" s="39"/>
      <c r="O14" s="39"/>
    </row>
    <row r="15" spans="1:54" ht="15.75" customHeight="1" thickBot="1" x14ac:dyDescent="0.3">
      <c r="A15" s="236"/>
      <c r="B15" s="213"/>
      <c r="C15" s="215"/>
      <c r="D15" s="262"/>
      <c r="E15" s="208"/>
      <c r="F15" s="208"/>
      <c r="G15" s="206"/>
      <c r="H15" s="206"/>
      <c r="I15" s="206"/>
      <c r="J15" s="206"/>
      <c r="K15" s="206"/>
      <c r="L15" s="220"/>
      <c r="M15" s="39"/>
      <c r="N15" s="39"/>
      <c r="O15" s="39"/>
    </row>
    <row r="16" spans="1:54" ht="15.75" customHeight="1" x14ac:dyDescent="0.25">
      <c r="A16" s="236"/>
      <c r="B16" s="212" t="s">
        <v>11</v>
      </c>
      <c r="C16" s="214" t="s">
        <v>12</v>
      </c>
      <c r="D16" s="261" t="s">
        <v>13</v>
      </c>
      <c r="E16" s="208"/>
      <c r="F16" s="208"/>
      <c r="G16" s="206"/>
      <c r="H16" s="206"/>
      <c r="I16" s="206"/>
      <c r="J16" s="206"/>
      <c r="K16" s="206"/>
      <c r="L16" s="220"/>
      <c r="M16" s="39"/>
      <c r="N16" s="39"/>
      <c r="O16" s="39"/>
    </row>
    <row r="17" spans="1:15" ht="16.5" customHeight="1" thickBot="1" x14ac:dyDescent="0.3">
      <c r="A17" s="236"/>
      <c r="B17" s="213"/>
      <c r="C17" s="215"/>
      <c r="D17" s="262"/>
      <c r="E17" s="208"/>
      <c r="F17" s="208"/>
      <c r="G17" s="206"/>
      <c r="H17" s="206"/>
      <c r="I17" s="206"/>
      <c r="J17" s="206"/>
      <c r="K17" s="206"/>
      <c r="L17" s="220"/>
      <c r="M17" s="39"/>
      <c r="N17" s="39"/>
      <c r="O17" s="39"/>
    </row>
    <row r="18" spans="1:15" ht="15.75" customHeight="1" x14ac:dyDescent="0.25">
      <c r="A18" s="236"/>
      <c r="B18" s="212" t="s">
        <v>14</v>
      </c>
      <c r="C18" s="214" t="s">
        <v>15</v>
      </c>
      <c r="D18" s="261" t="s">
        <v>16</v>
      </c>
      <c r="E18" s="208"/>
      <c r="F18" s="208"/>
      <c r="G18" s="206"/>
      <c r="H18" s="206"/>
      <c r="I18" s="206"/>
      <c r="J18" s="206"/>
      <c r="K18" s="206"/>
      <c r="L18" s="220"/>
      <c r="M18" s="39"/>
      <c r="N18" s="39"/>
      <c r="O18" s="39"/>
    </row>
    <row r="19" spans="1:15" ht="16.5" customHeight="1" thickBot="1" x14ac:dyDescent="0.3">
      <c r="A19" s="236"/>
      <c r="B19" s="213"/>
      <c r="C19" s="215"/>
      <c r="D19" s="262"/>
      <c r="E19" s="208"/>
      <c r="F19" s="208"/>
      <c r="G19" s="206"/>
      <c r="H19" s="206"/>
      <c r="I19" s="206"/>
      <c r="J19" s="206"/>
      <c r="K19" s="206"/>
      <c r="L19" s="220"/>
      <c r="M19" s="39"/>
      <c r="N19" s="39"/>
      <c r="O19" s="39"/>
    </row>
    <row r="20" spans="1:15" ht="15.75" customHeight="1" x14ac:dyDescent="0.25">
      <c r="A20" s="236"/>
      <c r="B20" s="212" t="s">
        <v>17</v>
      </c>
      <c r="C20" s="214" t="s">
        <v>18</v>
      </c>
      <c r="D20" s="261" t="s">
        <v>19</v>
      </c>
      <c r="E20" s="208"/>
      <c r="F20" s="208"/>
      <c r="G20" s="206"/>
      <c r="H20" s="206"/>
      <c r="I20" s="206"/>
      <c r="J20" s="206"/>
      <c r="K20" s="206"/>
      <c r="L20" s="220"/>
      <c r="M20" s="39"/>
      <c r="N20" s="39"/>
      <c r="O20" s="39"/>
    </row>
    <row r="21" spans="1:15" ht="16.5" customHeight="1" thickBot="1" x14ac:dyDescent="0.3">
      <c r="A21" s="236"/>
      <c r="B21" s="213"/>
      <c r="C21" s="215"/>
      <c r="D21" s="262"/>
      <c r="E21" s="208"/>
      <c r="F21" s="208"/>
      <c r="G21" s="206"/>
      <c r="H21" s="206"/>
      <c r="I21" s="206"/>
      <c r="J21" s="206"/>
      <c r="K21" s="206"/>
      <c r="L21" s="220"/>
      <c r="M21" s="39"/>
      <c r="N21" s="39"/>
      <c r="O21" s="39"/>
    </row>
    <row r="22" spans="1:15" ht="15.75" customHeight="1" x14ac:dyDescent="0.25">
      <c r="A22" s="236"/>
      <c r="B22" s="214" t="s">
        <v>20</v>
      </c>
      <c r="C22" s="214" t="s">
        <v>21</v>
      </c>
      <c r="D22" s="261" t="s">
        <v>22</v>
      </c>
      <c r="E22" s="208"/>
      <c r="F22" s="208"/>
      <c r="G22" s="206"/>
      <c r="H22" s="206"/>
      <c r="I22" s="206"/>
      <c r="J22" s="206"/>
      <c r="K22" s="206"/>
      <c r="L22" s="220"/>
      <c r="M22" s="39"/>
      <c r="N22" s="39"/>
      <c r="O22" s="39"/>
    </row>
    <row r="23" spans="1:15" ht="16.5" customHeight="1" thickBot="1" x14ac:dyDescent="0.3">
      <c r="A23" s="236"/>
      <c r="B23" s="215"/>
      <c r="C23" s="215"/>
      <c r="D23" s="262"/>
      <c r="E23" s="208"/>
      <c r="F23" s="208"/>
      <c r="G23" s="206"/>
      <c r="H23" s="206"/>
      <c r="I23" s="206"/>
      <c r="J23" s="206"/>
      <c r="K23" s="206"/>
      <c r="L23" s="220"/>
      <c r="M23" s="39"/>
      <c r="N23" s="39"/>
      <c r="O23" s="39"/>
    </row>
    <row r="24" spans="1:15" ht="15.75" customHeight="1" x14ac:dyDescent="0.25">
      <c r="A24" s="236"/>
      <c r="B24" s="214" t="s">
        <v>23</v>
      </c>
      <c r="C24" s="214" t="s">
        <v>24</v>
      </c>
      <c r="D24" s="261" t="s">
        <v>19</v>
      </c>
      <c r="E24" s="208"/>
      <c r="F24" s="208"/>
      <c r="G24" s="206"/>
      <c r="H24" s="206"/>
      <c r="I24" s="206"/>
      <c r="J24" s="206"/>
      <c r="K24" s="206"/>
      <c r="L24" s="220"/>
      <c r="M24" s="39"/>
      <c r="N24" s="39"/>
      <c r="O24" s="39"/>
    </row>
    <row r="25" spans="1:15" ht="16.5" customHeight="1" thickBot="1" x14ac:dyDescent="0.3">
      <c r="A25" s="237"/>
      <c r="B25" s="215"/>
      <c r="C25" s="215"/>
      <c r="D25" s="262"/>
      <c r="E25" s="208"/>
      <c r="F25" s="208"/>
      <c r="G25" s="206"/>
      <c r="H25" s="206"/>
      <c r="I25" s="206"/>
      <c r="J25" s="206"/>
      <c r="K25" s="206"/>
      <c r="L25" s="220"/>
      <c r="M25" s="39"/>
      <c r="N25" s="39"/>
      <c r="O25" s="39"/>
    </row>
    <row r="26" spans="1:15" ht="15.75" customHeight="1" x14ac:dyDescent="0.25">
      <c r="A26" s="235" t="s">
        <v>25</v>
      </c>
      <c r="B26" s="214" t="s">
        <v>26</v>
      </c>
      <c r="C26" s="214" t="s">
        <v>27</v>
      </c>
      <c r="D26" s="261" t="s">
        <v>13</v>
      </c>
      <c r="E26" s="208"/>
      <c r="F26" s="208"/>
      <c r="G26" s="206"/>
      <c r="H26" s="206"/>
      <c r="I26" s="206"/>
      <c r="J26" s="206"/>
      <c r="K26" s="206"/>
      <c r="L26" s="220"/>
      <c r="M26" s="39"/>
      <c r="N26" s="39"/>
      <c r="O26" s="39"/>
    </row>
    <row r="27" spans="1:15" ht="15.75" customHeight="1" thickBot="1" x14ac:dyDescent="0.3">
      <c r="A27" s="237"/>
      <c r="B27" s="215"/>
      <c r="C27" s="215"/>
      <c r="D27" s="262"/>
      <c r="E27" s="208"/>
      <c r="F27" s="225"/>
      <c r="G27" s="228"/>
      <c r="H27" s="228"/>
      <c r="I27" s="228"/>
      <c r="J27" s="228"/>
      <c r="K27" s="228"/>
      <c r="L27" s="229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2016</v>
      </c>
      <c r="F28" s="87">
        <v>2017</v>
      </c>
      <c r="G28" s="87">
        <v>2018</v>
      </c>
      <c r="H28" s="87">
        <v>2019</v>
      </c>
      <c r="I28" s="87">
        <v>2020</v>
      </c>
      <c r="J28" s="87">
        <v>2021</v>
      </c>
      <c r="K28" s="87">
        <v>2022</v>
      </c>
      <c r="L28" s="87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80" t="s">
        <v>13</v>
      </c>
      <c r="E29" s="174"/>
      <c r="F29" s="140"/>
      <c r="G29" s="141"/>
      <c r="H29" s="141"/>
      <c r="I29" s="141"/>
      <c r="J29" s="141"/>
      <c r="K29" s="141"/>
      <c r="L29" s="142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81" t="s">
        <v>13</v>
      </c>
      <c r="E30" s="174"/>
      <c r="F30" s="143"/>
      <c r="G30" s="96"/>
      <c r="H30" s="96"/>
      <c r="I30" s="96"/>
      <c r="J30" s="96"/>
      <c r="K30" s="96"/>
      <c r="L30" s="144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81" t="s">
        <v>16</v>
      </c>
      <c r="E31" s="174"/>
      <c r="F31" s="143"/>
      <c r="G31" s="96"/>
      <c r="H31" s="96"/>
      <c r="I31" s="96"/>
      <c r="J31" s="96"/>
      <c r="K31" s="96"/>
      <c r="L31" s="144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81" t="s">
        <v>16</v>
      </c>
      <c r="E32" s="174"/>
      <c r="F32" s="143"/>
      <c r="G32" s="96"/>
      <c r="H32" s="96"/>
      <c r="I32" s="96"/>
      <c r="J32" s="96"/>
      <c r="K32" s="96"/>
      <c r="L32" s="144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81" t="s">
        <v>16</v>
      </c>
      <c r="E33" s="174"/>
      <c r="F33" s="143"/>
      <c r="G33" s="96"/>
      <c r="H33" s="96"/>
      <c r="I33" s="96"/>
      <c r="J33" s="96"/>
      <c r="K33" s="96"/>
      <c r="L33" s="144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81" t="s">
        <v>16</v>
      </c>
      <c r="E34" s="174"/>
      <c r="F34" s="143"/>
      <c r="G34" s="96"/>
      <c r="H34" s="96"/>
      <c r="I34" s="96"/>
      <c r="J34" s="96"/>
      <c r="K34" s="96"/>
      <c r="L34" s="144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81" t="s">
        <v>16</v>
      </c>
      <c r="E35" s="174"/>
      <c r="F35" s="143"/>
      <c r="G35" s="96"/>
      <c r="H35" s="96"/>
      <c r="I35" s="96"/>
      <c r="J35" s="96"/>
      <c r="K35" s="96"/>
      <c r="L35" s="144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82" t="s">
        <v>16</v>
      </c>
      <c r="E36" s="174"/>
      <c r="F36" s="143"/>
      <c r="G36" s="96"/>
      <c r="H36" s="96"/>
      <c r="I36" s="96"/>
      <c r="J36" s="96"/>
      <c r="K36" s="96"/>
      <c r="L36" s="144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83" t="s">
        <v>16</v>
      </c>
      <c r="E37" s="174"/>
      <c r="F37" s="143"/>
      <c r="G37" s="96"/>
      <c r="H37" s="96"/>
      <c r="I37" s="96"/>
      <c r="J37" s="96"/>
      <c r="K37" s="96"/>
      <c r="L37" s="144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82" t="s">
        <v>16</v>
      </c>
      <c r="E38" s="174"/>
      <c r="F38" s="143"/>
      <c r="G38" s="96"/>
      <c r="H38" s="96"/>
      <c r="I38" s="96"/>
      <c r="J38" s="96"/>
      <c r="K38" s="96"/>
      <c r="L38" s="144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84" t="s">
        <v>16</v>
      </c>
      <c r="E39" s="174"/>
      <c r="F39" s="143"/>
      <c r="G39" s="96"/>
      <c r="H39" s="96"/>
      <c r="I39" s="96"/>
      <c r="J39" s="96"/>
      <c r="K39" s="96"/>
      <c r="L39" s="144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84" t="s">
        <v>16</v>
      </c>
      <c r="E40" s="174"/>
      <c r="F40" s="143"/>
      <c r="G40" s="96"/>
      <c r="H40" s="96"/>
      <c r="I40" s="96"/>
      <c r="J40" s="96"/>
      <c r="K40" s="96"/>
      <c r="L40" s="144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82" t="s">
        <v>16</v>
      </c>
      <c r="E41" s="174"/>
      <c r="F41" s="143"/>
      <c r="G41" s="96"/>
      <c r="H41" s="96"/>
      <c r="I41" s="96"/>
      <c r="J41" s="96"/>
      <c r="K41" s="96"/>
      <c r="L41" s="144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82" t="s">
        <v>16</v>
      </c>
      <c r="E42" s="174"/>
      <c r="F42" s="143"/>
      <c r="G42" s="96"/>
      <c r="H42" s="96"/>
      <c r="I42" s="96"/>
      <c r="J42" s="96"/>
      <c r="K42" s="96"/>
      <c r="L42" s="144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82" t="s">
        <v>16</v>
      </c>
      <c r="E43" s="174"/>
      <c r="F43" s="143"/>
      <c r="G43" s="96"/>
      <c r="H43" s="96"/>
      <c r="I43" s="96"/>
      <c r="J43" s="96"/>
      <c r="K43" s="96"/>
      <c r="L43" s="144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82" t="s">
        <v>16</v>
      </c>
      <c r="E44" s="174"/>
      <c r="F44" s="143"/>
      <c r="G44" s="96"/>
      <c r="H44" s="96"/>
      <c r="I44" s="96"/>
      <c r="J44" s="96"/>
      <c r="K44" s="96"/>
      <c r="L44" s="144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82" t="s">
        <v>16</v>
      </c>
      <c r="E45" s="174"/>
      <c r="F45" s="143"/>
      <c r="G45" s="96"/>
      <c r="H45" s="96"/>
      <c r="I45" s="96"/>
      <c r="J45" s="96"/>
      <c r="K45" s="96"/>
      <c r="L45" s="144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82" t="s">
        <v>16</v>
      </c>
      <c r="E46" s="174"/>
      <c r="F46" s="143"/>
      <c r="G46" s="96"/>
      <c r="H46" s="96"/>
      <c r="I46" s="96"/>
      <c r="J46" s="96"/>
      <c r="K46" s="96"/>
      <c r="L46" s="144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82" t="s">
        <v>16</v>
      </c>
      <c r="E47" s="174"/>
      <c r="F47" s="143"/>
      <c r="G47" s="96"/>
      <c r="H47" s="96"/>
      <c r="I47" s="96"/>
      <c r="J47" s="96"/>
      <c r="K47" s="96"/>
      <c r="L47" s="144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85" t="s">
        <v>16</v>
      </c>
      <c r="E48" s="174"/>
      <c r="F48" s="143"/>
      <c r="G48" s="96"/>
      <c r="H48" s="96"/>
      <c r="I48" s="96"/>
      <c r="J48" s="96"/>
      <c r="K48" s="96"/>
      <c r="L48" s="144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86" t="s">
        <v>16</v>
      </c>
      <c r="E49" s="174"/>
      <c r="F49" s="143"/>
      <c r="G49" s="96"/>
      <c r="H49" s="96"/>
      <c r="I49" s="96"/>
      <c r="J49" s="96"/>
      <c r="K49" s="96"/>
      <c r="L49" s="144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81" t="s">
        <v>16</v>
      </c>
      <c r="E50" s="174"/>
      <c r="F50" s="143"/>
      <c r="G50" s="96"/>
      <c r="H50" s="96"/>
      <c r="I50" s="96"/>
      <c r="J50" s="96"/>
      <c r="K50" s="96"/>
      <c r="L50" s="144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81" t="s">
        <v>16</v>
      </c>
      <c r="E51" s="174"/>
      <c r="F51" s="143"/>
      <c r="G51" s="96"/>
      <c r="H51" s="96"/>
      <c r="I51" s="96"/>
      <c r="J51" s="96"/>
      <c r="K51" s="96"/>
      <c r="L51" s="144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81" t="s">
        <v>16</v>
      </c>
      <c r="E52" s="174"/>
      <c r="F52" s="143"/>
      <c r="G52" s="96"/>
      <c r="H52" s="96"/>
      <c r="I52" s="96"/>
      <c r="J52" s="96"/>
      <c r="K52" s="96"/>
      <c r="L52" s="144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81" t="s">
        <v>16</v>
      </c>
      <c r="E53" s="174"/>
      <c r="F53" s="145"/>
      <c r="G53" s="146"/>
      <c r="H53" s="146"/>
      <c r="I53" s="146"/>
      <c r="J53" s="146"/>
      <c r="K53" s="146"/>
      <c r="L53" s="147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3D4QTU849+A1JPJ+58Ta9CbZPi9GuWy28Yw15anyPANa9QPdMxF0d6VDlzwIWqX6wDuyXCbgOLxUj88f5Z3Yxg==" saltValue="Xmhg632TafpWSiXgqLoY0g==" spinCount="100000" sheet="1" selectLockedCells="1"/>
  <mergeCells count="93">
    <mergeCell ref="E12:E13"/>
    <mergeCell ref="E16:E17"/>
    <mergeCell ref="E18:E19"/>
    <mergeCell ref="E20:E21"/>
    <mergeCell ref="L26:L27"/>
    <mergeCell ref="G26:G27"/>
    <mergeCell ref="H26:H27"/>
    <mergeCell ref="I26:I27"/>
    <mergeCell ref="J26:J27"/>
    <mergeCell ref="K26:K27"/>
    <mergeCell ref="H24:H25"/>
    <mergeCell ref="I24:I25"/>
    <mergeCell ref="J24:J25"/>
    <mergeCell ref="K24:K25"/>
    <mergeCell ref="L24:L25"/>
    <mergeCell ref="H22:H23"/>
    <mergeCell ref="A26:A27"/>
    <mergeCell ref="B26:B27"/>
    <mergeCell ref="C26:C27"/>
    <mergeCell ref="D26:D27"/>
    <mergeCell ref="F26:F27"/>
    <mergeCell ref="E26:E27"/>
    <mergeCell ref="B24:B25"/>
    <mergeCell ref="C24:C25"/>
    <mergeCell ref="D24:D25"/>
    <mergeCell ref="F24:F25"/>
    <mergeCell ref="G24:G25"/>
    <mergeCell ref="E24:E25"/>
    <mergeCell ref="I22:I23"/>
    <mergeCell ref="J22:J23"/>
    <mergeCell ref="K22:K23"/>
    <mergeCell ref="L22:L23"/>
    <mergeCell ref="B22:B23"/>
    <mergeCell ref="C22:C23"/>
    <mergeCell ref="D22:D23"/>
    <mergeCell ref="F22:F23"/>
    <mergeCell ref="G22:G23"/>
    <mergeCell ref="E22:E23"/>
    <mergeCell ref="H20:H21"/>
    <mergeCell ref="I20:I21"/>
    <mergeCell ref="J20:J21"/>
    <mergeCell ref="K20:K21"/>
    <mergeCell ref="L20:L21"/>
    <mergeCell ref="B20:B21"/>
    <mergeCell ref="C20:C21"/>
    <mergeCell ref="D20:D21"/>
    <mergeCell ref="F20:F21"/>
    <mergeCell ref="G20:G21"/>
    <mergeCell ref="H18:H19"/>
    <mergeCell ref="I18:I19"/>
    <mergeCell ref="J18:J19"/>
    <mergeCell ref="K18:K19"/>
    <mergeCell ref="L18:L19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E14:E15"/>
    <mergeCell ref="L14:L15"/>
    <mergeCell ref="H16:H17"/>
    <mergeCell ref="I16:I17"/>
    <mergeCell ref="J16:J17"/>
    <mergeCell ref="K16:K17"/>
    <mergeCell ref="L16:L17"/>
    <mergeCell ref="H14:H15"/>
    <mergeCell ref="I14:I15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</mergeCells>
  <dataValidations count="10">
    <dataValidation type="whole" allowBlank="1" showErrorMessage="1" error="Valor= 0 o 1 _x000a_" sqref="F34:L34" xr:uid="{D9F50255-2699-4321-BFCB-D80CEB4DFBE6}">
      <formula1>0</formula1>
      <formula2>1</formula2>
    </dataValidation>
    <dataValidation type="whole" allowBlank="1" showErrorMessage="1" error="Valor= 0 o 1 " promptTitle="jjjjj" sqref="F12:L15" xr:uid="{74916BAD-6FD9-47E3-85DC-B81FD7E3973A}">
      <formula1>0</formula1>
      <formula2>1</formula2>
    </dataValidation>
    <dataValidation type="whole" allowBlank="1" showInputMessage="1" showErrorMessage="1" error="Valor=0 _x000a_" sqref="F18:L19" xr:uid="{656071E0-F35A-4AAC-A3C8-BB7B682CACC3}">
      <formula1>0</formula1>
      <formula2>0</formula2>
    </dataValidation>
    <dataValidation type="whole" allowBlank="1" showInputMessage="1" showErrorMessage="1" error="Valor= 0 o 1 _x000a_" sqref="F35:L35 F39:L39" xr:uid="{93434245-A52E-4425-B525-26DFA81718BE}">
      <formula1>0</formula1>
      <formula2>1</formula2>
    </dataValidation>
    <dataValidation type="whole" allowBlank="1" showInputMessage="1" showErrorMessage="1" error="Valor=1" sqref="F43:L43" xr:uid="{0BA6101E-71AF-460B-B9D2-5010450C7B67}">
      <formula1>1</formula1>
      <formula2>1</formula2>
    </dataValidation>
    <dataValidation type="whole" allowBlank="1" showInputMessage="1" showErrorMessage="1" error="Valor=0 o 1" sqref="F46:L53 E46:E53 E12:E15" xr:uid="{0A07F5A9-4C58-469A-A43B-9AF2FDF7A4E6}">
      <formula1>0</formula1>
      <formula2>1</formula2>
    </dataValidation>
    <dataValidation type="textLength" allowBlank="1" showInputMessage="1" showErrorMessage="1" error="El NIF introduit no és vàlid " sqref="C8" xr:uid="{5A0B1001-C9CB-4E71-900F-03CB88F8EF87}">
      <formula1>9</formula1>
      <formula2>9</formula2>
    </dataValidation>
    <dataValidation type="whole" operator="equal" allowBlank="1" showInputMessage="1" showErrorMessage="1" error="Valor=0 _x000a_" sqref="E18:E19" xr:uid="{036AD550-B82E-4D51-8532-CC72E35FBA59}">
      <formula1>0</formula1>
    </dataValidation>
    <dataValidation type="whole" allowBlank="1" showInputMessage="1" showErrorMessage="1" error="Valor= 0 o 1" sqref="E34:E35 E39" xr:uid="{950D0570-32A8-4C89-9C1F-B1AA898773DE}">
      <formula1>0</formula1>
      <formula2>1</formula2>
    </dataValidation>
    <dataValidation type="whole" operator="equal" allowBlank="1" showInputMessage="1" showErrorMessage="1" error="Valor= 1" sqref="E43" xr:uid="{FBC92D9C-8111-4AAE-9E9A-7C8C17390B0D}">
      <formula1>1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CC7E-70AE-4E36-A5B6-A8C6544882F9}">
  <dimension ref="A1:BB56"/>
  <sheetViews>
    <sheetView topLeftCell="A7"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77">
        <f>codiexp1</f>
        <v>0</v>
      </c>
      <c r="BB5" s="4">
        <v>3</v>
      </c>
    </row>
    <row r="6" spans="1:54" ht="16.5" thickBot="1" x14ac:dyDescent="0.3">
      <c r="B6" s="2" t="s">
        <v>83</v>
      </c>
      <c r="C6" s="88" t="str">
        <f>+CONCATENATE(C5,"-10")</f>
        <v>0-10</v>
      </c>
    </row>
    <row r="7" spans="1:54" ht="16.5" thickBot="1" x14ac:dyDescent="0.3">
      <c r="B7" s="2" t="s">
        <v>0</v>
      </c>
      <c r="C7" s="114"/>
    </row>
    <row r="8" spans="1:54" ht="16.5" thickBot="1" x14ac:dyDescent="0.3">
      <c r="B8" s="2" t="s">
        <v>80</v>
      </c>
      <c r="C8" s="114"/>
    </row>
    <row r="9" spans="1:54" ht="16.5" thickBot="1" x14ac:dyDescent="0.3">
      <c r="B9" s="2" t="s">
        <v>84</v>
      </c>
      <c r="C9" s="79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45">
        <v>2016</v>
      </c>
      <c r="F11" s="45">
        <v>2017</v>
      </c>
      <c r="G11" s="45">
        <v>2018</v>
      </c>
      <c r="H11" s="45">
        <v>2019</v>
      </c>
      <c r="I11" s="45">
        <v>2020</v>
      </c>
      <c r="J11" s="45">
        <v>2021</v>
      </c>
      <c r="K11" s="45">
        <v>2022</v>
      </c>
      <c r="L11" s="45">
        <v>2023</v>
      </c>
    </row>
    <row r="12" spans="1:54" ht="15" customHeight="1" x14ac:dyDescent="0.25">
      <c r="A12" s="235" t="s">
        <v>4</v>
      </c>
      <c r="B12" s="212" t="s">
        <v>5</v>
      </c>
      <c r="C12" s="214" t="s">
        <v>6</v>
      </c>
      <c r="D12" s="261" t="s">
        <v>7</v>
      </c>
      <c r="E12" s="279"/>
      <c r="F12" s="273"/>
      <c r="G12" s="275"/>
      <c r="H12" s="275"/>
      <c r="I12" s="275"/>
      <c r="J12" s="275"/>
      <c r="K12" s="275"/>
      <c r="L12" s="277"/>
      <c r="M12" s="39"/>
      <c r="N12" s="39"/>
      <c r="O12" s="39"/>
    </row>
    <row r="13" spans="1:54" ht="15.75" customHeight="1" thickBot="1" x14ac:dyDescent="0.3">
      <c r="A13" s="236"/>
      <c r="B13" s="213"/>
      <c r="C13" s="215"/>
      <c r="D13" s="262"/>
      <c r="E13" s="276"/>
      <c r="F13" s="274"/>
      <c r="G13" s="276"/>
      <c r="H13" s="276"/>
      <c r="I13" s="276"/>
      <c r="J13" s="276"/>
      <c r="K13" s="276"/>
      <c r="L13" s="278"/>
      <c r="M13" s="39"/>
      <c r="N13" s="39"/>
      <c r="O13" s="39"/>
    </row>
    <row r="14" spans="1:54" ht="15" customHeight="1" x14ac:dyDescent="0.25">
      <c r="A14" s="236"/>
      <c r="B14" s="212" t="s">
        <v>8</v>
      </c>
      <c r="C14" s="214" t="s">
        <v>9</v>
      </c>
      <c r="D14" s="261" t="s">
        <v>10</v>
      </c>
      <c r="E14" s="279"/>
      <c r="F14" s="281"/>
      <c r="G14" s="279"/>
      <c r="H14" s="279"/>
      <c r="I14" s="279"/>
      <c r="J14" s="279"/>
      <c r="K14" s="279"/>
      <c r="L14" s="280"/>
      <c r="M14" s="39"/>
      <c r="N14" s="39"/>
      <c r="O14" s="39"/>
    </row>
    <row r="15" spans="1:54" ht="15.75" customHeight="1" thickBot="1" x14ac:dyDescent="0.3">
      <c r="A15" s="236"/>
      <c r="B15" s="213"/>
      <c r="C15" s="215"/>
      <c r="D15" s="262"/>
      <c r="E15" s="276"/>
      <c r="F15" s="274"/>
      <c r="G15" s="276"/>
      <c r="H15" s="276"/>
      <c r="I15" s="276"/>
      <c r="J15" s="276"/>
      <c r="K15" s="276"/>
      <c r="L15" s="278"/>
      <c r="M15" s="39"/>
      <c r="N15" s="39"/>
      <c r="O15" s="39"/>
    </row>
    <row r="16" spans="1:54" ht="15" customHeight="1" x14ac:dyDescent="0.25">
      <c r="A16" s="236"/>
      <c r="B16" s="212" t="s">
        <v>11</v>
      </c>
      <c r="C16" s="214" t="s">
        <v>12</v>
      </c>
      <c r="D16" s="261" t="s">
        <v>13</v>
      </c>
      <c r="E16" s="279"/>
      <c r="F16" s="281"/>
      <c r="G16" s="279"/>
      <c r="H16" s="279"/>
      <c r="I16" s="279"/>
      <c r="J16" s="279"/>
      <c r="K16" s="279"/>
      <c r="L16" s="280"/>
      <c r="M16" s="39"/>
      <c r="N16" s="39"/>
      <c r="O16" s="39"/>
    </row>
    <row r="17" spans="1:15" ht="15.75" customHeight="1" thickBot="1" x14ac:dyDescent="0.3">
      <c r="A17" s="236"/>
      <c r="B17" s="213"/>
      <c r="C17" s="215"/>
      <c r="D17" s="262"/>
      <c r="E17" s="276"/>
      <c r="F17" s="274"/>
      <c r="G17" s="276"/>
      <c r="H17" s="276"/>
      <c r="I17" s="276"/>
      <c r="J17" s="276"/>
      <c r="K17" s="276"/>
      <c r="L17" s="278"/>
      <c r="M17" s="39"/>
      <c r="N17" s="39"/>
      <c r="O17" s="39"/>
    </row>
    <row r="18" spans="1:15" ht="15" customHeight="1" x14ac:dyDescent="0.25">
      <c r="A18" s="236"/>
      <c r="B18" s="212" t="s">
        <v>14</v>
      </c>
      <c r="C18" s="214" t="s">
        <v>15</v>
      </c>
      <c r="D18" s="261" t="s">
        <v>16</v>
      </c>
      <c r="E18" s="279"/>
      <c r="F18" s="281"/>
      <c r="G18" s="279"/>
      <c r="H18" s="279"/>
      <c r="I18" s="279"/>
      <c r="J18" s="279"/>
      <c r="K18" s="279"/>
      <c r="L18" s="280"/>
      <c r="M18" s="39"/>
      <c r="N18" s="39"/>
      <c r="O18" s="39"/>
    </row>
    <row r="19" spans="1:15" ht="15.75" customHeight="1" thickBot="1" x14ac:dyDescent="0.3">
      <c r="A19" s="236"/>
      <c r="B19" s="213"/>
      <c r="C19" s="215"/>
      <c r="D19" s="262"/>
      <c r="E19" s="276"/>
      <c r="F19" s="274"/>
      <c r="G19" s="276"/>
      <c r="H19" s="276"/>
      <c r="I19" s="276"/>
      <c r="J19" s="276"/>
      <c r="K19" s="276"/>
      <c r="L19" s="278"/>
      <c r="M19" s="39"/>
      <c r="N19" s="39"/>
      <c r="O19" s="39"/>
    </row>
    <row r="20" spans="1:15" ht="15" customHeight="1" x14ac:dyDescent="0.25">
      <c r="A20" s="236"/>
      <c r="B20" s="212" t="s">
        <v>17</v>
      </c>
      <c r="C20" s="214" t="s">
        <v>18</v>
      </c>
      <c r="D20" s="261" t="s">
        <v>19</v>
      </c>
      <c r="E20" s="279"/>
      <c r="F20" s="281"/>
      <c r="G20" s="279"/>
      <c r="H20" s="279"/>
      <c r="I20" s="279"/>
      <c r="J20" s="279"/>
      <c r="K20" s="279"/>
      <c r="L20" s="280"/>
      <c r="M20" s="39"/>
      <c r="N20" s="39"/>
      <c r="O20" s="39"/>
    </row>
    <row r="21" spans="1:15" ht="15.75" customHeight="1" thickBot="1" x14ac:dyDescent="0.3">
      <c r="A21" s="236"/>
      <c r="B21" s="213"/>
      <c r="C21" s="215"/>
      <c r="D21" s="262"/>
      <c r="E21" s="276"/>
      <c r="F21" s="274"/>
      <c r="G21" s="276"/>
      <c r="H21" s="276"/>
      <c r="I21" s="276"/>
      <c r="J21" s="276"/>
      <c r="K21" s="276"/>
      <c r="L21" s="278"/>
      <c r="M21" s="39"/>
      <c r="N21" s="39"/>
      <c r="O21" s="39"/>
    </row>
    <row r="22" spans="1:15" ht="15" customHeight="1" x14ac:dyDescent="0.25">
      <c r="A22" s="236"/>
      <c r="B22" s="214" t="s">
        <v>20</v>
      </c>
      <c r="C22" s="214" t="s">
        <v>21</v>
      </c>
      <c r="D22" s="261" t="s">
        <v>22</v>
      </c>
      <c r="E22" s="279"/>
      <c r="F22" s="281"/>
      <c r="G22" s="279"/>
      <c r="H22" s="279"/>
      <c r="I22" s="279"/>
      <c r="J22" s="279"/>
      <c r="K22" s="279"/>
      <c r="L22" s="280"/>
      <c r="M22" s="39"/>
      <c r="N22" s="39"/>
      <c r="O22" s="39"/>
    </row>
    <row r="23" spans="1:15" ht="15.75" customHeight="1" thickBot="1" x14ac:dyDescent="0.3">
      <c r="A23" s="236"/>
      <c r="B23" s="215"/>
      <c r="C23" s="215"/>
      <c r="D23" s="262"/>
      <c r="E23" s="276"/>
      <c r="F23" s="274"/>
      <c r="G23" s="276"/>
      <c r="H23" s="276"/>
      <c r="I23" s="276"/>
      <c r="J23" s="276"/>
      <c r="K23" s="276"/>
      <c r="L23" s="278"/>
      <c r="M23" s="39"/>
      <c r="N23" s="39"/>
      <c r="O23" s="39"/>
    </row>
    <row r="24" spans="1:15" ht="15" customHeight="1" x14ac:dyDescent="0.25">
      <c r="A24" s="236"/>
      <c r="B24" s="214" t="s">
        <v>23</v>
      </c>
      <c r="C24" s="214" t="s">
        <v>24</v>
      </c>
      <c r="D24" s="261" t="s">
        <v>19</v>
      </c>
      <c r="E24" s="279"/>
      <c r="F24" s="281"/>
      <c r="G24" s="279"/>
      <c r="H24" s="279"/>
      <c r="I24" s="279"/>
      <c r="J24" s="279"/>
      <c r="K24" s="279"/>
      <c r="L24" s="280"/>
      <c r="M24" s="39"/>
      <c r="N24" s="39"/>
      <c r="O24" s="39"/>
    </row>
    <row r="25" spans="1:15" ht="15.75" customHeight="1" thickBot="1" x14ac:dyDescent="0.3">
      <c r="A25" s="237"/>
      <c r="B25" s="215"/>
      <c r="C25" s="215"/>
      <c r="D25" s="262"/>
      <c r="E25" s="276"/>
      <c r="F25" s="274"/>
      <c r="G25" s="276"/>
      <c r="H25" s="276"/>
      <c r="I25" s="276"/>
      <c r="J25" s="276"/>
      <c r="K25" s="276"/>
      <c r="L25" s="278"/>
      <c r="M25" s="39"/>
      <c r="N25" s="39"/>
      <c r="O25" s="39"/>
    </row>
    <row r="26" spans="1:15" ht="15" customHeight="1" x14ac:dyDescent="0.25">
      <c r="A26" s="235" t="s">
        <v>25</v>
      </c>
      <c r="B26" s="214" t="s">
        <v>26</v>
      </c>
      <c r="C26" s="214" t="s">
        <v>27</v>
      </c>
      <c r="D26" s="261" t="s">
        <v>13</v>
      </c>
      <c r="E26" s="279"/>
      <c r="F26" s="281"/>
      <c r="G26" s="279"/>
      <c r="H26" s="279"/>
      <c r="I26" s="279"/>
      <c r="J26" s="279"/>
      <c r="K26" s="279"/>
      <c r="L26" s="280"/>
      <c r="M26" s="39"/>
      <c r="N26" s="39"/>
      <c r="O26" s="39"/>
    </row>
    <row r="27" spans="1:15" ht="15.75" customHeight="1" thickBot="1" x14ac:dyDescent="0.3">
      <c r="A27" s="237"/>
      <c r="B27" s="215"/>
      <c r="C27" s="215"/>
      <c r="D27" s="262"/>
      <c r="E27" s="276"/>
      <c r="F27" s="282"/>
      <c r="G27" s="284"/>
      <c r="H27" s="284"/>
      <c r="I27" s="284"/>
      <c r="J27" s="284"/>
      <c r="K27" s="284"/>
      <c r="L27" s="283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2016</v>
      </c>
      <c r="F28" s="87">
        <v>2017</v>
      </c>
      <c r="G28" s="87">
        <v>2018</v>
      </c>
      <c r="H28" s="87">
        <v>2019</v>
      </c>
      <c r="I28" s="87">
        <v>2020</v>
      </c>
      <c r="J28" s="87">
        <v>2021</v>
      </c>
      <c r="K28" s="87">
        <v>2022</v>
      </c>
      <c r="L28" s="87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80" t="s">
        <v>13</v>
      </c>
      <c r="E29" s="118"/>
      <c r="F29" s="115"/>
      <c r="G29" s="116"/>
      <c r="H29" s="116"/>
      <c r="I29" s="116"/>
      <c r="J29" s="116"/>
      <c r="K29" s="116"/>
      <c r="L29" s="117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81" t="s">
        <v>13</v>
      </c>
      <c r="E30" s="118"/>
      <c r="F30" s="118"/>
      <c r="G30" s="119"/>
      <c r="H30" s="119"/>
      <c r="I30" s="119"/>
      <c r="J30" s="119"/>
      <c r="K30" s="119"/>
      <c r="L30" s="120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81" t="s">
        <v>16</v>
      </c>
      <c r="E31" s="118"/>
      <c r="F31" s="118"/>
      <c r="G31" s="119"/>
      <c r="H31" s="119"/>
      <c r="I31" s="119"/>
      <c r="J31" s="119"/>
      <c r="K31" s="119"/>
      <c r="L31" s="120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81" t="s">
        <v>16</v>
      </c>
      <c r="E32" s="118"/>
      <c r="F32" s="118"/>
      <c r="G32" s="119"/>
      <c r="H32" s="119"/>
      <c r="I32" s="119"/>
      <c r="J32" s="119"/>
      <c r="K32" s="119"/>
      <c r="L32" s="120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81" t="s">
        <v>16</v>
      </c>
      <c r="E33" s="118"/>
      <c r="F33" s="118"/>
      <c r="G33" s="119"/>
      <c r="H33" s="119"/>
      <c r="I33" s="119"/>
      <c r="J33" s="119"/>
      <c r="K33" s="119"/>
      <c r="L33" s="120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81" t="s">
        <v>16</v>
      </c>
      <c r="E34" s="118"/>
      <c r="F34" s="118"/>
      <c r="G34" s="119"/>
      <c r="H34" s="119"/>
      <c r="I34" s="119"/>
      <c r="J34" s="119"/>
      <c r="K34" s="119"/>
      <c r="L34" s="120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81" t="s">
        <v>16</v>
      </c>
      <c r="E35" s="118"/>
      <c r="F35" s="118"/>
      <c r="G35" s="119"/>
      <c r="H35" s="119"/>
      <c r="I35" s="119"/>
      <c r="J35" s="119"/>
      <c r="K35" s="119"/>
      <c r="L35" s="120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82" t="s">
        <v>16</v>
      </c>
      <c r="E36" s="118"/>
      <c r="F36" s="118"/>
      <c r="G36" s="119"/>
      <c r="H36" s="119"/>
      <c r="I36" s="119"/>
      <c r="J36" s="119"/>
      <c r="K36" s="119"/>
      <c r="L36" s="120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83" t="s">
        <v>16</v>
      </c>
      <c r="E37" s="118"/>
      <c r="F37" s="118"/>
      <c r="G37" s="119"/>
      <c r="H37" s="119"/>
      <c r="I37" s="119"/>
      <c r="J37" s="119"/>
      <c r="K37" s="119"/>
      <c r="L37" s="120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82" t="s">
        <v>16</v>
      </c>
      <c r="E38" s="118"/>
      <c r="F38" s="118"/>
      <c r="G38" s="119"/>
      <c r="H38" s="119"/>
      <c r="I38" s="119"/>
      <c r="J38" s="119"/>
      <c r="K38" s="119"/>
      <c r="L38" s="120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84" t="s">
        <v>16</v>
      </c>
      <c r="E39" s="118"/>
      <c r="F39" s="118"/>
      <c r="G39" s="119"/>
      <c r="H39" s="119"/>
      <c r="I39" s="119"/>
      <c r="J39" s="119"/>
      <c r="K39" s="119"/>
      <c r="L39" s="120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84" t="s">
        <v>16</v>
      </c>
      <c r="E40" s="118"/>
      <c r="F40" s="118"/>
      <c r="G40" s="119"/>
      <c r="H40" s="119"/>
      <c r="I40" s="119"/>
      <c r="J40" s="119"/>
      <c r="K40" s="119"/>
      <c r="L40" s="120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82" t="s">
        <v>16</v>
      </c>
      <c r="E41" s="118"/>
      <c r="F41" s="118"/>
      <c r="G41" s="119"/>
      <c r="H41" s="119"/>
      <c r="I41" s="119"/>
      <c r="J41" s="119"/>
      <c r="K41" s="119"/>
      <c r="L41" s="120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82" t="s">
        <v>16</v>
      </c>
      <c r="E42" s="118"/>
      <c r="F42" s="118"/>
      <c r="G42" s="119"/>
      <c r="H42" s="119"/>
      <c r="I42" s="119"/>
      <c r="J42" s="119"/>
      <c r="K42" s="119"/>
      <c r="L42" s="120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82" t="s">
        <v>16</v>
      </c>
      <c r="E43" s="118"/>
      <c r="F43" s="118"/>
      <c r="G43" s="119"/>
      <c r="H43" s="119"/>
      <c r="I43" s="119"/>
      <c r="J43" s="119"/>
      <c r="K43" s="119"/>
      <c r="L43" s="120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82" t="s">
        <v>16</v>
      </c>
      <c r="E44" s="118"/>
      <c r="F44" s="118"/>
      <c r="G44" s="119"/>
      <c r="H44" s="119"/>
      <c r="I44" s="119"/>
      <c r="J44" s="119"/>
      <c r="K44" s="119"/>
      <c r="L44" s="120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82" t="s">
        <v>16</v>
      </c>
      <c r="E45" s="118"/>
      <c r="F45" s="118"/>
      <c r="G45" s="119"/>
      <c r="H45" s="119"/>
      <c r="I45" s="119"/>
      <c r="J45" s="119"/>
      <c r="K45" s="119"/>
      <c r="L45" s="120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82" t="s">
        <v>16</v>
      </c>
      <c r="E46" s="118"/>
      <c r="F46" s="118"/>
      <c r="G46" s="119"/>
      <c r="H46" s="119"/>
      <c r="I46" s="119"/>
      <c r="J46" s="119"/>
      <c r="K46" s="119"/>
      <c r="L46" s="120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82" t="s">
        <v>16</v>
      </c>
      <c r="E47" s="118"/>
      <c r="F47" s="118"/>
      <c r="G47" s="119"/>
      <c r="H47" s="119"/>
      <c r="I47" s="119"/>
      <c r="J47" s="119"/>
      <c r="K47" s="119"/>
      <c r="L47" s="120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85" t="s">
        <v>16</v>
      </c>
      <c r="E48" s="118"/>
      <c r="F48" s="118"/>
      <c r="G48" s="119"/>
      <c r="H48" s="119"/>
      <c r="I48" s="119"/>
      <c r="J48" s="119"/>
      <c r="K48" s="119"/>
      <c r="L48" s="120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86" t="s">
        <v>16</v>
      </c>
      <c r="E49" s="118"/>
      <c r="F49" s="118"/>
      <c r="G49" s="119"/>
      <c r="H49" s="119"/>
      <c r="I49" s="119"/>
      <c r="J49" s="119"/>
      <c r="K49" s="119"/>
      <c r="L49" s="120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81" t="s">
        <v>16</v>
      </c>
      <c r="E50" s="118"/>
      <c r="F50" s="118"/>
      <c r="G50" s="119"/>
      <c r="H50" s="119"/>
      <c r="I50" s="119"/>
      <c r="J50" s="119"/>
      <c r="K50" s="119"/>
      <c r="L50" s="120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81" t="s">
        <v>16</v>
      </c>
      <c r="E51" s="118"/>
      <c r="F51" s="118"/>
      <c r="G51" s="119"/>
      <c r="H51" s="119"/>
      <c r="I51" s="119"/>
      <c r="J51" s="119"/>
      <c r="K51" s="119"/>
      <c r="L51" s="120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81" t="s">
        <v>16</v>
      </c>
      <c r="E52" s="118"/>
      <c r="F52" s="118"/>
      <c r="G52" s="119"/>
      <c r="H52" s="119"/>
      <c r="I52" s="119"/>
      <c r="J52" s="119"/>
      <c r="K52" s="119"/>
      <c r="L52" s="120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81" t="s">
        <v>16</v>
      </c>
      <c r="E53" s="118"/>
      <c r="F53" s="121"/>
      <c r="G53" s="122"/>
      <c r="H53" s="122"/>
      <c r="I53" s="122"/>
      <c r="J53" s="122"/>
      <c r="K53" s="122"/>
      <c r="L53" s="123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juU9dpezWlzG990MSUu8evl8Nb+5/j2fCErGgWsJNrkaKdtJkIjL4l0vI7rwzYNb25WUP4Djekj9U1dN+Hqz4Q==" saltValue="lU3+KYgLDbatcbZA78s/+w==" spinCount="100000" sheet="1" selectLockedCells="1"/>
  <mergeCells count="93">
    <mergeCell ref="E12:E13"/>
    <mergeCell ref="E14:E15"/>
    <mergeCell ref="E16:E17"/>
    <mergeCell ref="E18:E19"/>
    <mergeCell ref="E20:E21"/>
    <mergeCell ref="L26:L27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F26:F27"/>
    <mergeCell ref="E26:E27"/>
    <mergeCell ref="H24:H25"/>
    <mergeCell ref="I24:I25"/>
    <mergeCell ref="J24:J25"/>
    <mergeCell ref="K24:K25"/>
    <mergeCell ref="L24:L25"/>
    <mergeCell ref="B24:B25"/>
    <mergeCell ref="C24:C25"/>
    <mergeCell ref="D24:D25"/>
    <mergeCell ref="F24:F25"/>
    <mergeCell ref="G24:G25"/>
    <mergeCell ref="E24:E25"/>
    <mergeCell ref="H22:H23"/>
    <mergeCell ref="I22:I23"/>
    <mergeCell ref="J22:J23"/>
    <mergeCell ref="K22:K23"/>
    <mergeCell ref="L22:L23"/>
    <mergeCell ref="B22:B23"/>
    <mergeCell ref="C22:C23"/>
    <mergeCell ref="D22:D23"/>
    <mergeCell ref="F22:F23"/>
    <mergeCell ref="G22:G23"/>
    <mergeCell ref="E22:E23"/>
    <mergeCell ref="H20:H21"/>
    <mergeCell ref="I20:I21"/>
    <mergeCell ref="J20:J21"/>
    <mergeCell ref="K20:K21"/>
    <mergeCell ref="L20:L21"/>
    <mergeCell ref="B20:B21"/>
    <mergeCell ref="C20:C21"/>
    <mergeCell ref="D20:D21"/>
    <mergeCell ref="F20:F21"/>
    <mergeCell ref="G20:G21"/>
    <mergeCell ref="H18:H19"/>
    <mergeCell ref="I18:I19"/>
    <mergeCell ref="J18:J19"/>
    <mergeCell ref="K18:K19"/>
    <mergeCell ref="L18:L19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L14:L15"/>
    <mergeCell ref="H16:H17"/>
    <mergeCell ref="I16:I17"/>
    <mergeCell ref="J16:J17"/>
    <mergeCell ref="K16:K17"/>
    <mergeCell ref="L16:L17"/>
    <mergeCell ref="H14:H15"/>
    <mergeCell ref="I14:I15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</mergeCells>
  <dataValidations count="10">
    <dataValidation type="textLength" allowBlank="1" showInputMessage="1" showErrorMessage="1" error="El NIF introduit no és vàlid " sqref="C8" xr:uid="{FF867335-BD10-4055-8DA9-410D6856E25A}">
      <formula1>9</formula1>
      <formula2>9</formula2>
    </dataValidation>
    <dataValidation type="whole" allowBlank="1" showInputMessage="1" showErrorMessage="1" error="Valor=0 o 1" sqref="F46:L53 E46:E53 E12:E15" xr:uid="{54EE0D4D-AA3B-48B9-AAA0-A747D7432558}">
      <formula1>0</formula1>
      <formula2>1</formula2>
    </dataValidation>
    <dataValidation type="whole" allowBlank="1" showInputMessage="1" showErrorMessage="1" error="Valor=1" sqref="F43:L43" xr:uid="{F02567C8-745E-42D9-85F0-B0CAA54BC096}">
      <formula1>1</formula1>
      <formula2>1</formula2>
    </dataValidation>
    <dataValidation type="whole" allowBlank="1" showInputMessage="1" showErrorMessage="1" error="Valor= 0 o 1 _x000a_" sqref="F35:L35 F39:L39" xr:uid="{741CEE5D-FCBD-476B-A5BD-4F97622233D7}">
      <formula1>0</formula1>
      <formula2>1</formula2>
    </dataValidation>
    <dataValidation type="whole" allowBlank="1" showInputMessage="1" showErrorMessage="1" error="Valor=0 _x000a_" sqref="F18:L19" xr:uid="{44A0FDBE-782A-4B69-B424-905CFAA3BB00}">
      <formula1>0</formula1>
      <formula2>0</formula2>
    </dataValidation>
    <dataValidation type="whole" allowBlank="1" showErrorMessage="1" error="Valor= 0 o 1 " promptTitle="jjjjj" sqref="F12:L15" xr:uid="{8A315D29-DB26-4428-97E6-D263F67C1956}">
      <formula1>0</formula1>
      <formula2>1</formula2>
    </dataValidation>
    <dataValidation type="whole" allowBlank="1" showErrorMessage="1" error="Valor= 0 o 1 _x000a_" sqref="F34:L34" xr:uid="{B063F44B-F3F9-464E-9EEF-7AAF721CBDF9}">
      <formula1>0</formula1>
      <formula2>1</formula2>
    </dataValidation>
    <dataValidation type="whole" operator="equal" allowBlank="1" showInputMessage="1" showErrorMessage="1" error="Valor=0 o 1" sqref="E18:E19" xr:uid="{28AD78CB-269B-4FB7-A64F-229E3B184743}">
      <formula1>0</formula1>
    </dataValidation>
    <dataValidation type="whole" allowBlank="1" showInputMessage="1" showErrorMessage="1" error="Valor= 0 o 1" sqref="E34:E35 E39" xr:uid="{5AFFC0A9-F89C-4EAE-9968-CA9A271ED808}">
      <formula1>0</formula1>
      <formula2>1</formula2>
    </dataValidation>
    <dataValidation type="whole" operator="equal" allowBlank="1" showInputMessage="1" showErrorMessage="1" error="Valor= 1" sqref="E43" xr:uid="{C3126B54-0FFB-4EA3-872E-62175E5AE22D}">
      <formula1>1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0677-E8DF-454A-BEBE-F7016F1D984B}">
  <dimension ref="A1:BB56"/>
  <sheetViews>
    <sheetView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58" customWidth="1"/>
    <col min="2" max="2" width="21.28515625" style="58" customWidth="1"/>
    <col min="3" max="3" width="112.7109375" style="58" customWidth="1"/>
    <col min="4" max="5" width="15.7109375" style="58" customWidth="1"/>
    <col min="6" max="12" width="13.85546875" style="58" customWidth="1"/>
    <col min="13" max="16384" width="11.42578125" style="58"/>
  </cols>
  <sheetData>
    <row r="1" spans="1:54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54" x14ac:dyDescent="0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54" ht="30.75" customHeight="1" x14ac:dyDescent="0.4">
      <c r="A3" s="55"/>
      <c r="B3" s="55"/>
      <c r="C3" s="185" t="s">
        <v>91</v>
      </c>
      <c r="D3" s="185"/>
      <c r="E3" s="185"/>
      <c r="F3" s="185"/>
      <c r="G3" s="185"/>
      <c r="H3" s="185"/>
      <c r="I3" s="55"/>
      <c r="J3" s="55"/>
      <c r="K3" s="55"/>
      <c r="L3" s="55"/>
    </row>
    <row r="4" spans="1:54" ht="26.25" customHeight="1" thickBot="1" x14ac:dyDescent="0.3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BB4" s="58" t="s">
        <v>93</v>
      </c>
    </row>
    <row r="5" spans="1:54" ht="16.5" thickBot="1" x14ac:dyDescent="0.3">
      <c r="B5" s="56" t="s">
        <v>82</v>
      </c>
      <c r="C5" s="125"/>
      <c r="BB5" s="58">
        <v>3</v>
      </c>
    </row>
    <row r="6" spans="1:54" ht="16.5" thickBot="1" x14ac:dyDescent="0.3">
      <c r="B6" s="56" t="s">
        <v>83</v>
      </c>
      <c r="C6" s="124" t="str">
        <f>+CONCATENATE(C5,"-11")</f>
        <v>-11</v>
      </c>
    </row>
    <row r="7" spans="1:54" ht="16.5" thickBot="1" x14ac:dyDescent="0.3">
      <c r="B7" s="56" t="s">
        <v>0</v>
      </c>
      <c r="C7" s="114"/>
    </row>
    <row r="8" spans="1:54" ht="16.5" thickBot="1" x14ac:dyDescent="0.3">
      <c r="B8" s="56" t="s">
        <v>80</v>
      </c>
      <c r="C8" s="114"/>
    </row>
    <row r="9" spans="1:54" ht="16.5" thickBot="1" x14ac:dyDescent="0.3">
      <c r="B9" s="56" t="s">
        <v>84</v>
      </c>
      <c r="C9" s="126">
        <f>justificacio</f>
        <v>0</v>
      </c>
    </row>
    <row r="10" spans="1:54" ht="15.75" thickBot="1" x14ac:dyDescent="0.3">
      <c r="B10" s="127"/>
    </row>
    <row r="11" spans="1:54" ht="32.25" thickBot="1" x14ac:dyDescent="0.3">
      <c r="A11" s="56" t="s">
        <v>90</v>
      </c>
      <c r="B11" s="56" t="s">
        <v>1</v>
      </c>
      <c r="C11" s="59" t="s">
        <v>2</v>
      </c>
      <c r="D11" s="128" t="s">
        <v>3</v>
      </c>
      <c r="E11" s="128">
        <v>2016</v>
      </c>
      <c r="F11" s="56">
        <v>2017</v>
      </c>
      <c r="G11" s="59">
        <v>2018</v>
      </c>
      <c r="H11" s="59">
        <v>2019</v>
      </c>
      <c r="I11" s="59">
        <v>2020</v>
      </c>
      <c r="J11" s="59">
        <v>2021</v>
      </c>
      <c r="K11" s="59">
        <v>2022</v>
      </c>
      <c r="L11" s="59">
        <v>2023</v>
      </c>
    </row>
    <row r="12" spans="1:54" ht="15" customHeight="1" x14ac:dyDescent="0.25">
      <c r="A12" s="264" t="s">
        <v>4</v>
      </c>
      <c r="B12" s="190" t="s">
        <v>5</v>
      </c>
      <c r="C12" s="192" t="s">
        <v>6</v>
      </c>
      <c r="D12" s="267" t="s">
        <v>7</v>
      </c>
      <c r="E12" s="279"/>
      <c r="F12" s="285"/>
      <c r="G12" s="286"/>
      <c r="H12" s="286"/>
      <c r="I12" s="286"/>
      <c r="J12" s="286"/>
      <c r="K12" s="286"/>
      <c r="L12" s="287"/>
      <c r="M12" s="129"/>
      <c r="N12" s="129"/>
      <c r="O12" s="129"/>
    </row>
    <row r="13" spans="1:54" ht="15.75" customHeight="1" thickBot="1" x14ac:dyDescent="0.3">
      <c r="A13" s="265"/>
      <c r="B13" s="191"/>
      <c r="C13" s="193"/>
      <c r="D13" s="268"/>
      <c r="E13" s="276"/>
      <c r="F13" s="274"/>
      <c r="G13" s="276"/>
      <c r="H13" s="276"/>
      <c r="I13" s="276"/>
      <c r="J13" s="276"/>
      <c r="K13" s="276"/>
      <c r="L13" s="278"/>
      <c r="M13" s="129"/>
      <c r="N13" s="129"/>
      <c r="O13" s="129"/>
    </row>
    <row r="14" spans="1:54" ht="15" customHeight="1" x14ac:dyDescent="0.25">
      <c r="A14" s="265"/>
      <c r="B14" s="190" t="s">
        <v>8</v>
      </c>
      <c r="C14" s="192" t="s">
        <v>9</v>
      </c>
      <c r="D14" s="267" t="s">
        <v>10</v>
      </c>
      <c r="E14" s="279"/>
      <c r="F14" s="281"/>
      <c r="G14" s="279"/>
      <c r="H14" s="279"/>
      <c r="I14" s="279"/>
      <c r="J14" s="279"/>
      <c r="K14" s="279"/>
      <c r="L14" s="280"/>
      <c r="M14" s="129"/>
      <c r="N14" s="129"/>
      <c r="O14" s="129"/>
    </row>
    <row r="15" spans="1:54" ht="15.75" customHeight="1" thickBot="1" x14ac:dyDescent="0.3">
      <c r="A15" s="265"/>
      <c r="B15" s="191"/>
      <c r="C15" s="193"/>
      <c r="D15" s="268"/>
      <c r="E15" s="276"/>
      <c r="F15" s="274"/>
      <c r="G15" s="276"/>
      <c r="H15" s="276"/>
      <c r="I15" s="276"/>
      <c r="J15" s="276"/>
      <c r="K15" s="276"/>
      <c r="L15" s="278"/>
      <c r="M15" s="129"/>
      <c r="N15" s="129"/>
      <c r="O15" s="129"/>
    </row>
    <row r="16" spans="1:54" ht="15" customHeight="1" x14ac:dyDescent="0.25">
      <c r="A16" s="265"/>
      <c r="B16" s="190" t="s">
        <v>11</v>
      </c>
      <c r="C16" s="192" t="s">
        <v>12</v>
      </c>
      <c r="D16" s="267" t="s">
        <v>13</v>
      </c>
      <c r="E16" s="279"/>
      <c r="F16" s="281"/>
      <c r="G16" s="279"/>
      <c r="H16" s="279"/>
      <c r="I16" s="279"/>
      <c r="J16" s="279"/>
      <c r="K16" s="279"/>
      <c r="L16" s="280"/>
      <c r="M16" s="129"/>
      <c r="N16" s="129"/>
      <c r="O16" s="129"/>
    </row>
    <row r="17" spans="1:15" ht="15.75" customHeight="1" thickBot="1" x14ac:dyDescent="0.3">
      <c r="A17" s="265"/>
      <c r="B17" s="191"/>
      <c r="C17" s="193"/>
      <c r="D17" s="268"/>
      <c r="E17" s="276"/>
      <c r="F17" s="274"/>
      <c r="G17" s="276"/>
      <c r="H17" s="276"/>
      <c r="I17" s="276"/>
      <c r="J17" s="276"/>
      <c r="K17" s="276"/>
      <c r="L17" s="278"/>
      <c r="M17" s="129"/>
      <c r="N17" s="129"/>
      <c r="O17" s="129"/>
    </row>
    <row r="18" spans="1:15" ht="15" customHeight="1" x14ac:dyDescent="0.25">
      <c r="A18" s="265"/>
      <c r="B18" s="190" t="s">
        <v>14</v>
      </c>
      <c r="C18" s="192" t="s">
        <v>15</v>
      </c>
      <c r="D18" s="267" t="s">
        <v>16</v>
      </c>
      <c r="E18" s="279"/>
      <c r="F18" s="281"/>
      <c r="G18" s="279"/>
      <c r="H18" s="279"/>
      <c r="I18" s="279"/>
      <c r="J18" s="279"/>
      <c r="K18" s="279"/>
      <c r="L18" s="280"/>
      <c r="M18" s="129"/>
      <c r="N18" s="129"/>
      <c r="O18" s="129"/>
    </row>
    <row r="19" spans="1:15" ht="15.75" customHeight="1" thickBot="1" x14ac:dyDescent="0.3">
      <c r="A19" s="265"/>
      <c r="B19" s="191"/>
      <c r="C19" s="193"/>
      <c r="D19" s="268"/>
      <c r="E19" s="276"/>
      <c r="F19" s="274"/>
      <c r="G19" s="276"/>
      <c r="H19" s="276"/>
      <c r="I19" s="276"/>
      <c r="J19" s="276"/>
      <c r="K19" s="276"/>
      <c r="L19" s="278"/>
      <c r="M19" s="129"/>
      <c r="N19" s="129"/>
      <c r="O19" s="129"/>
    </row>
    <row r="20" spans="1:15" ht="15" customHeight="1" x14ac:dyDescent="0.25">
      <c r="A20" s="265"/>
      <c r="B20" s="190" t="s">
        <v>17</v>
      </c>
      <c r="C20" s="192" t="s">
        <v>18</v>
      </c>
      <c r="D20" s="267" t="s">
        <v>19</v>
      </c>
      <c r="E20" s="279"/>
      <c r="F20" s="281"/>
      <c r="G20" s="279"/>
      <c r="H20" s="279"/>
      <c r="I20" s="279"/>
      <c r="J20" s="279"/>
      <c r="K20" s="279"/>
      <c r="L20" s="280"/>
      <c r="M20" s="129"/>
      <c r="N20" s="129"/>
      <c r="O20" s="129"/>
    </row>
    <row r="21" spans="1:15" ht="15.75" customHeight="1" thickBot="1" x14ac:dyDescent="0.3">
      <c r="A21" s="265"/>
      <c r="B21" s="191"/>
      <c r="C21" s="193"/>
      <c r="D21" s="268"/>
      <c r="E21" s="276"/>
      <c r="F21" s="274"/>
      <c r="G21" s="276"/>
      <c r="H21" s="276"/>
      <c r="I21" s="276"/>
      <c r="J21" s="276"/>
      <c r="K21" s="276"/>
      <c r="L21" s="278"/>
      <c r="M21" s="129"/>
      <c r="N21" s="129"/>
      <c r="O21" s="129"/>
    </row>
    <row r="22" spans="1:15" ht="15" customHeight="1" x14ac:dyDescent="0.25">
      <c r="A22" s="265"/>
      <c r="B22" s="192" t="s">
        <v>20</v>
      </c>
      <c r="C22" s="192" t="s">
        <v>21</v>
      </c>
      <c r="D22" s="267" t="s">
        <v>22</v>
      </c>
      <c r="E22" s="279"/>
      <c r="F22" s="281"/>
      <c r="G22" s="279"/>
      <c r="H22" s="279"/>
      <c r="I22" s="279"/>
      <c r="J22" s="279"/>
      <c r="K22" s="279"/>
      <c r="L22" s="280"/>
      <c r="M22" s="129"/>
      <c r="N22" s="129"/>
      <c r="O22" s="129"/>
    </row>
    <row r="23" spans="1:15" ht="15.75" customHeight="1" thickBot="1" x14ac:dyDescent="0.3">
      <c r="A23" s="265"/>
      <c r="B23" s="193"/>
      <c r="C23" s="193"/>
      <c r="D23" s="268"/>
      <c r="E23" s="276"/>
      <c r="F23" s="274"/>
      <c r="G23" s="276"/>
      <c r="H23" s="276"/>
      <c r="I23" s="276"/>
      <c r="J23" s="276"/>
      <c r="K23" s="276"/>
      <c r="L23" s="278"/>
      <c r="M23" s="129"/>
      <c r="N23" s="129"/>
      <c r="O23" s="129"/>
    </row>
    <row r="24" spans="1:15" ht="15" customHeight="1" x14ac:dyDescent="0.25">
      <c r="A24" s="265"/>
      <c r="B24" s="192" t="s">
        <v>23</v>
      </c>
      <c r="C24" s="192" t="s">
        <v>24</v>
      </c>
      <c r="D24" s="267" t="s">
        <v>19</v>
      </c>
      <c r="E24" s="279"/>
      <c r="F24" s="281"/>
      <c r="G24" s="279"/>
      <c r="H24" s="279"/>
      <c r="I24" s="279"/>
      <c r="J24" s="279"/>
      <c r="K24" s="279"/>
      <c r="L24" s="280"/>
      <c r="M24" s="129"/>
      <c r="N24" s="129"/>
      <c r="O24" s="129"/>
    </row>
    <row r="25" spans="1:15" ht="15.75" customHeight="1" thickBot="1" x14ac:dyDescent="0.3">
      <c r="A25" s="266"/>
      <c r="B25" s="193"/>
      <c r="C25" s="193"/>
      <c r="D25" s="268"/>
      <c r="E25" s="276"/>
      <c r="F25" s="274"/>
      <c r="G25" s="276"/>
      <c r="H25" s="276"/>
      <c r="I25" s="276"/>
      <c r="J25" s="276"/>
      <c r="K25" s="276"/>
      <c r="L25" s="278"/>
      <c r="M25" s="129"/>
      <c r="N25" s="129"/>
      <c r="O25" s="129"/>
    </row>
    <row r="26" spans="1:15" ht="15" customHeight="1" x14ac:dyDescent="0.25">
      <c r="A26" s="264" t="s">
        <v>25</v>
      </c>
      <c r="B26" s="192" t="s">
        <v>26</v>
      </c>
      <c r="C26" s="192" t="s">
        <v>27</v>
      </c>
      <c r="D26" s="267" t="s">
        <v>13</v>
      </c>
      <c r="E26" s="279"/>
      <c r="F26" s="281"/>
      <c r="G26" s="279"/>
      <c r="H26" s="279"/>
      <c r="I26" s="279"/>
      <c r="J26" s="279"/>
      <c r="K26" s="279"/>
      <c r="L26" s="280"/>
      <c r="M26" s="129"/>
      <c r="N26" s="129"/>
      <c r="O26" s="129"/>
    </row>
    <row r="27" spans="1:15" ht="15.75" customHeight="1" thickBot="1" x14ac:dyDescent="0.3">
      <c r="A27" s="266"/>
      <c r="B27" s="193"/>
      <c r="C27" s="193"/>
      <c r="D27" s="268"/>
      <c r="E27" s="276"/>
      <c r="F27" s="282"/>
      <c r="G27" s="284"/>
      <c r="H27" s="284"/>
      <c r="I27" s="284"/>
      <c r="J27" s="284"/>
      <c r="K27" s="284"/>
      <c r="L27" s="283"/>
      <c r="M27" s="129"/>
      <c r="N27" s="129"/>
      <c r="O27" s="129"/>
    </row>
    <row r="28" spans="1:15" ht="32.25" thickBot="1" x14ac:dyDescent="0.3">
      <c r="A28" s="56" t="s">
        <v>89</v>
      </c>
      <c r="B28" s="56" t="s">
        <v>1</v>
      </c>
      <c r="C28" s="59" t="s">
        <v>2</v>
      </c>
      <c r="D28" s="59" t="s">
        <v>3</v>
      </c>
      <c r="E28" s="130">
        <v>2016</v>
      </c>
      <c r="F28" s="130">
        <v>2017</v>
      </c>
      <c r="G28" s="130">
        <v>2018</v>
      </c>
      <c r="H28" s="130">
        <v>2019</v>
      </c>
      <c r="I28" s="130">
        <v>2020</v>
      </c>
      <c r="J28" s="130">
        <v>2021</v>
      </c>
      <c r="K28" s="130">
        <v>2022</v>
      </c>
      <c r="L28" s="130">
        <v>2023</v>
      </c>
      <c r="M28" s="129"/>
      <c r="N28" s="129"/>
      <c r="O28" s="129"/>
    </row>
    <row r="29" spans="1:15" ht="25.5" customHeight="1" thickBot="1" x14ac:dyDescent="0.3">
      <c r="B29" s="64" t="s">
        <v>28</v>
      </c>
      <c r="C29" s="63" t="s">
        <v>29</v>
      </c>
      <c r="D29" s="131" t="s">
        <v>13</v>
      </c>
      <c r="E29" s="119"/>
      <c r="F29" s="115"/>
      <c r="G29" s="116"/>
      <c r="H29" s="116"/>
      <c r="I29" s="116"/>
      <c r="J29" s="116"/>
      <c r="K29" s="116"/>
      <c r="L29" s="117"/>
      <c r="M29" s="129"/>
      <c r="N29" s="129"/>
      <c r="O29" s="129"/>
    </row>
    <row r="30" spans="1:15" ht="25.5" customHeight="1" thickBot="1" x14ac:dyDescent="0.3">
      <c r="B30" s="67" t="s">
        <v>30</v>
      </c>
      <c r="C30" s="66" t="s">
        <v>31</v>
      </c>
      <c r="D30" s="132" t="s">
        <v>13</v>
      </c>
      <c r="E30" s="119"/>
      <c r="F30" s="118"/>
      <c r="G30" s="119"/>
      <c r="H30" s="119"/>
      <c r="I30" s="119"/>
      <c r="J30" s="119"/>
      <c r="K30" s="119"/>
      <c r="L30" s="120"/>
      <c r="M30" s="129"/>
      <c r="N30" s="129"/>
      <c r="O30" s="129"/>
    </row>
    <row r="31" spans="1:15" ht="25.5" customHeight="1" thickBot="1" x14ac:dyDescent="0.3">
      <c r="B31" s="67" t="s">
        <v>32</v>
      </c>
      <c r="C31" s="66" t="s">
        <v>33</v>
      </c>
      <c r="D31" s="132" t="s">
        <v>16</v>
      </c>
      <c r="E31" s="119"/>
      <c r="F31" s="118"/>
      <c r="G31" s="119"/>
      <c r="H31" s="119"/>
      <c r="I31" s="119"/>
      <c r="J31" s="119"/>
      <c r="K31" s="119"/>
      <c r="L31" s="120"/>
      <c r="M31" s="129"/>
      <c r="N31" s="129"/>
      <c r="O31" s="129"/>
    </row>
    <row r="32" spans="1:15" ht="25.5" customHeight="1" thickBot="1" x14ac:dyDescent="0.3">
      <c r="B32" s="67" t="s">
        <v>34</v>
      </c>
      <c r="C32" s="66" t="s">
        <v>35</v>
      </c>
      <c r="D32" s="132" t="s">
        <v>16</v>
      </c>
      <c r="E32" s="119"/>
      <c r="F32" s="118"/>
      <c r="G32" s="119"/>
      <c r="H32" s="119"/>
      <c r="I32" s="119"/>
      <c r="J32" s="119"/>
      <c r="K32" s="119"/>
      <c r="L32" s="120"/>
      <c r="M32" s="129"/>
      <c r="N32" s="129"/>
      <c r="O32" s="129"/>
    </row>
    <row r="33" spans="2:15" ht="25.5" customHeight="1" thickBot="1" x14ac:dyDescent="0.3">
      <c r="B33" s="70" t="s">
        <v>36</v>
      </c>
      <c r="C33" s="66" t="s">
        <v>37</v>
      </c>
      <c r="D33" s="132" t="s">
        <v>16</v>
      </c>
      <c r="E33" s="119"/>
      <c r="F33" s="118"/>
      <c r="G33" s="119"/>
      <c r="H33" s="119"/>
      <c r="I33" s="119"/>
      <c r="J33" s="119"/>
      <c r="K33" s="119"/>
      <c r="L33" s="120"/>
      <c r="M33" s="129"/>
      <c r="N33" s="129"/>
      <c r="O33" s="129"/>
    </row>
    <row r="34" spans="2:15" ht="25.5" customHeight="1" thickBot="1" x14ac:dyDescent="0.3">
      <c r="B34" s="70" t="s">
        <v>38</v>
      </c>
      <c r="C34" s="69" t="s">
        <v>39</v>
      </c>
      <c r="D34" s="132" t="s">
        <v>16</v>
      </c>
      <c r="E34" s="119"/>
      <c r="F34" s="118"/>
      <c r="G34" s="119"/>
      <c r="H34" s="119"/>
      <c r="I34" s="119"/>
      <c r="J34" s="119"/>
      <c r="K34" s="119"/>
      <c r="L34" s="120"/>
      <c r="M34" s="129"/>
      <c r="N34" s="129"/>
      <c r="O34" s="129"/>
    </row>
    <row r="35" spans="2:15" ht="25.5" customHeight="1" thickBot="1" x14ac:dyDescent="0.3">
      <c r="B35" s="70" t="s">
        <v>40</v>
      </c>
      <c r="C35" s="69" t="s">
        <v>41</v>
      </c>
      <c r="D35" s="132" t="s">
        <v>16</v>
      </c>
      <c r="E35" s="119"/>
      <c r="F35" s="118"/>
      <c r="G35" s="119"/>
      <c r="H35" s="119"/>
      <c r="I35" s="119"/>
      <c r="J35" s="119"/>
      <c r="K35" s="119"/>
      <c r="L35" s="120"/>
      <c r="M35" s="129"/>
      <c r="N35" s="129"/>
      <c r="O35" s="129"/>
    </row>
    <row r="36" spans="2:15" ht="25.5" customHeight="1" thickBot="1" x14ac:dyDescent="0.3">
      <c r="B36" s="70" t="s">
        <v>42</v>
      </c>
      <c r="C36" s="66" t="s">
        <v>43</v>
      </c>
      <c r="D36" s="133" t="s">
        <v>16</v>
      </c>
      <c r="E36" s="119"/>
      <c r="F36" s="118"/>
      <c r="G36" s="119"/>
      <c r="H36" s="119"/>
      <c r="I36" s="119"/>
      <c r="J36" s="119"/>
      <c r="K36" s="119"/>
      <c r="L36" s="120"/>
      <c r="M36" s="129"/>
      <c r="N36" s="129"/>
      <c r="O36" s="129"/>
    </row>
    <row r="37" spans="2:15" ht="25.5" customHeight="1" thickBot="1" x14ac:dyDescent="0.3">
      <c r="B37" s="70" t="s">
        <v>44</v>
      </c>
      <c r="C37" s="66" t="s">
        <v>45</v>
      </c>
      <c r="D37" s="134" t="s">
        <v>16</v>
      </c>
      <c r="E37" s="119"/>
      <c r="F37" s="118"/>
      <c r="G37" s="119"/>
      <c r="H37" s="119"/>
      <c r="I37" s="119"/>
      <c r="J37" s="119"/>
      <c r="K37" s="119"/>
      <c r="L37" s="120"/>
      <c r="M37" s="129"/>
      <c r="N37" s="129"/>
      <c r="O37" s="129"/>
    </row>
    <row r="38" spans="2:15" ht="25.5" customHeight="1" thickBot="1" x14ac:dyDescent="0.3">
      <c r="B38" s="70" t="s">
        <v>46</v>
      </c>
      <c r="C38" s="66" t="s">
        <v>47</v>
      </c>
      <c r="D38" s="133" t="s">
        <v>16</v>
      </c>
      <c r="E38" s="119"/>
      <c r="F38" s="118"/>
      <c r="G38" s="119"/>
      <c r="H38" s="119"/>
      <c r="I38" s="119"/>
      <c r="J38" s="119"/>
      <c r="K38" s="119"/>
      <c r="L38" s="120"/>
      <c r="M38" s="129"/>
      <c r="N38" s="129"/>
      <c r="O38" s="129"/>
    </row>
    <row r="39" spans="2:15" ht="25.5" customHeight="1" thickBot="1" x14ac:dyDescent="0.3">
      <c r="B39" s="70" t="s">
        <v>48</v>
      </c>
      <c r="C39" s="66" t="s">
        <v>49</v>
      </c>
      <c r="D39" s="135" t="s">
        <v>16</v>
      </c>
      <c r="E39" s="119"/>
      <c r="F39" s="118"/>
      <c r="G39" s="119"/>
      <c r="H39" s="119"/>
      <c r="I39" s="119"/>
      <c r="J39" s="119"/>
      <c r="K39" s="119"/>
      <c r="L39" s="120"/>
      <c r="M39" s="129"/>
      <c r="N39" s="129"/>
      <c r="O39" s="129"/>
    </row>
    <row r="40" spans="2:15" ht="25.5" customHeight="1" thickBot="1" x14ac:dyDescent="0.3">
      <c r="B40" s="70" t="s">
        <v>50</v>
      </c>
      <c r="C40" s="66" t="s">
        <v>51</v>
      </c>
      <c r="D40" s="135" t="s">
        <v>16</v>
      </c>
      <c r="E40" s="119"/>
      <c r="F40" s="118"/>
      <c r="G40" s="119"/>
      <c r="H40" s="119"/>
      <c r="I40" s="119"/>
      <c r="J40" s="119"/>
      <c r="K40" s="119"/>
      <c r="L40" s="120"/>
      <c r="M40" s="129"/>
      <c r="N40" s="129"/>
      <c r="O40" s="129"/>
    </row>
    <row r="41" spans="2:15" ht="25.5" customHeight="1" thickBot="1" x14ac:dyDescent="0.3">
      <c r="B41" s="70" t="s">
        <v>52</v>
      </c>
      <c r="C41" s="66" t="s">
        <v>53</v>
      </c>
      <c r="D41" s="133" t="s">
        <v>16</v>
      </c>
      <c r="E41" s="119"/>
      <c r="F41" s="118"/>
      <c r="G41" s="119"/>
      <c r="H41" s="119"/>
      <c r="I41" s="119"/>
      <c r="J41" s="119"/>
      <c r="K41" s="119"/>
      <c r="L41" s="120"/>
      <c r="M41" s="129"/>
      <c r="N41" s="129"/>
      <c r="O41" s="129"/>
    </row>
    <row r="42" spans="2:15" ht="25.5" customHeight="1" thickBot="1" x14ac:dyDescent="0.3">
      <c r="B42" s="70" t="s">
        <v>54</v>
      </c>
      <c r="C42" s="66" t="s">
        <v>55</v>
      </c>
      <c r="D42" s="133" t="s">
        <v>16</v>
      </c>
      <c r="E42" s="119"/>
      <c r="F42" s="118"/>
      <c r="G42" s="119"/>
      <c r="H42" s="119"/>
      <c r="I42" s="119"/>
      <c r="J42" s="119"/>
      <c r="K42" s="119"/>
      <c r="L42" s="120"/>
      <c r="M42" s="129"/>
      <c r="N42" s="129"/>
      <c r="O42" s="129"/>
    </row>
    <row r="43" spans="2:15" ht="25.5" customHeight="1" thickBot="1" x14ac:dyDescent="0.3">
      <c r="B43" s="70" t="s">
        <v>56</v>
      </c>
      <c r="C43" s="66" t="s">
        <v>57</v>
      </c>
      <c r="D43" s="133" t="s">
        <v>16</v>
      </c>
      <c r="E43" s="119"/>
      <c r="F43" s="118"/>
      <c r="G43" s="119"/>
      <c r="H43" s="119"/>
      <c r="I43" s="119"/>
      <c r="J43" s="119"/>
      <c r="K43" s="119"/>
      <c r="L43" s="120"/>
      <c r="M43" s="129"/>
      <c r="N43" s="129"/>
      <c r="O43" s="129"/>
    </row>
    <row r="44" spans="2:15" ht="25.5" customHeight="1" thickBot="1" x14ac:dyDescent="0.3">
      <c r="B44" s="70" t="s">
        <v>58</v>
      </c>
      <c r="C44" s="66" t="s">
        <v>59</v>
      </c>
      <c r="D44" s="133" t="s">
        <v>16</v>
      </c>
      <c r="E44" s="119"/>
      <c r="F44" s="118"/>
      <c r="G44" s="119"/>
      <c r="H44" s="119"/>
      <c r="I44" s="119"/>
      <c r="J44" s="119"/>
      <c r="K44" s="119"/>
      <c r="L44" s="120"/>
      <c r="M44" s="129"/>
      <c r="N44" s="129"/>
      <c r="O44" s="129"/>
    </row>
    <row r="45" spans="2:15" ht="25.5" customHeight="1" thickBot="1" x14ac:dyDescent="0.3">
      <c r="B45" s="70" t="s">
        <v>60</v>
      </c>
      <c r="C45" s="66" t="s">
        <v>61</v>
      </c>
      <c r="D45" s="133" t="s">
        <v>16</v>
      </c>
      <c r="E45" s="119"/>
      <c r="F45" s="118"/>
      <c r="G45" s="119"/>
      <c r="H45" s="119"/>
      <c r="I45" s="119"/>
      <c r="J45" s="119"/>
      <c r="K45" s="119"/>
      <c r="L45" s="120"/>
      <c r="M45" s="129"/>
      <c r="N45" s="129"/>
      <c r="O45" s="129"/>
    </row>
    <row r="46" spans="2:15" ht="25.5" customHeight="1" thickBot="1" x14ac:dyDescent="0.3">
      <c r="B46" s="70" t="s">
        <v>62</v>
      </c>
      <c r="C46" s="66" t="s">
        <v>63</v>
      </c>
      <c r="D46" s="133" t="s">
        <v>16</v>
      </c>
      <c r="E46" s="119"/>
      <c r="F46" s="118"/>
      <c r="G46" s="119"/>
      <c r="H46" s="119"/>
      <c r="I46" s="119"/>
      <c r="J46" s="119"/>
      <c r="K46" s="119"/>
      <c r="L46" s="120"/>
      <c r="M46" s="129"/>
      <c r="N46" s="129"/>
      <c r="O46" s="129"/>
    </row>
    <row r="47" spans="2:15" ht="25.5" customHeight="1" thickBot="1" x14ac:dyDescent="0.3">
      <c r="B47" s="70" t="s">
        <v>64</v>
      </c>
      <c r="C47" s="66" t="s">
        <v>65</v>
      </c>
      <c r="D47" s="133" t="s">
        <v>16</v>
      </c>
      <c r="E47" s="119"/>
      <c r="F47" s="118"/>
      <c r="G47" s="119"/>
      <c r="H47" s="119"/>
      <c r="I47" s="119"/>
      <c r="J47" s="119"/>
      <c r="K47" s="119"/>
      <c r="L47" s="120"/>
      <c r="M47" s="129"/>
      <c r="N47" s="129"/>
      <c r="O47" s="129"/>
    </row>
    <row r="48" spans="2:15" ht="25.5" customHeight="1" thickBot="1" x14ac:dyDescent="0.3">
      <c r="B48" s="74" t="s">
        <v>66</v>
      </c>
      <c r="C48" s="73" t="s">
        <v>67</v>
      </c>
      <c r="D48" s="136" t="s">
        <v>16</v>
      </c>
      <c r="E48" s="119"/>
      <c r="F48" s="118"/>
      <c r="G48" s="119"/>
      <c r="H48" s="119"/>
      <c r="I48" s="119"/>
      <c r="J48" s="119"/>
      <c r="K48" s="119"/>
      <c r="L48" s="120"/>
      <c r="M48" s="129"/>
      <c r="N48" s="129"/>
      <c r="O48" s="129"/>
    </row>
    <row r="49" spans="2:15" ht="25.5" customHeight="1" thickBot="1" x14ac:dyDescent="0.3">
      <c r="B49" s="75" t="s">
        <v>68</v>
      </c>
      <c r="C49" s="66" t="s">
        <v>69</v>
      </c>
      <c r="D49" s="137" t="s">
        <v>16</v>
      </c>
      <c r="E49" s="119"/>
      <c r="F49" s="118"/>
      <c r="G49" s="119"/>
      <c r="H49" s="119"/>
      <c r="I49" s="119"/>
      <c r="J49" s="119"/>
      <c r="K49" s="119"/>
      <c r="L49" s="120"/>
      <c r="M49" s="129"/>
      <c r="N49" s="129"/>
      <c r="O49" s="129"/>
    </row>
    <row r="50" spans="2:15" ht="25.5" customHeight="1" thickBot="1" x14ac:dyDescent="0.3">
      <c r="B50" s="70" t="s">
        <v>70</v>
      </c>
      <c r="C50" s="66" t="s">
        <v>71</v>
      </c>
      <c r="D50" s="132" t="s">
        <v>16</v>
      </c>
      <c r="E50" s="119"/>
      <c r="F50" s="118"/>
      <c r="G50" s="119"/>
      <c r="H50" s="119"/>
      <c r="I50" s="119"/>
      <c r="J50" s="119"/>
      <c r="K50" s="119"/>
      <c r="L50" s="120"/>
      <c r="M50" s="129"/>
      <c r="N50" s="129"/>
      <c r="O50" s="129"/>
    </row>
    <row r="51" spans="2:15" ht="25.5" customHeight="1" thickBot="1" x14ac:dyDescent="0.3">
      <c r="B51" s="70" t="s">
        <v>72</v>
      </c>
      <c r="C51" s="66" t="s">
        <v>73</v>
      </c>
      <c r="D51" s="132" t="s">
        <v>16</v>
      </c>
      <c r="E51" s="119"/>
      <c r="F51" s="118"/>
      <c r="G51" s="119"/>
      <c r="H51" s="119"/>
      <c r="I51" s="119"/>
      <c r="J51" s="119"/>
      <c r="K51" s="119"/>
      <c r="L51" s="120"/>
      <c r="M51" s="129"/>
      <c r="N51" s="129"/>
      <c r="O51" s="129"/>
    </row>
    <row r="52" spans="2:15" ht="25.5" customHeight="1" thickBot="1" x14ac:dyDescent="0.3">
      <c r="B52" s="70" t="s">
        <v>74</v>
      </c>
      <c r="C52" s="66" t="s">
        <v>75</v>
      </c>
      <c r="D52" s="132" t="s">
        <v>16</v>
      </c>
      <c r="E52" s="119"/>
      <c r="F52" s="118"/>
      <c r="G52" s="119"/>
      <c r="H52" s="119"/>
      <c r="I52" s="119"/>
      <c r="J52" s="119"/>
      <c r="K52" s="119"/>
      <c r="L52" s="120"/>
      <c r="M52" s="129"/>
      <c r="N52" s="129"/>
      <c r="O52" s="129"/>
    </row>
    <row r="53" spans="2:15" ht="25.5" customHeight="1" thickBot="1" x14ac:dyDescent="0.3">
      <c r="B53" s="70" t="s">
        <v>76</v>
      </c>
      <c r="C53" s="66" t="s">
        <v>77</v>
      </c>
      <c r="D53" s="132" t="s">
        <v>16</v>
      </c>
      <c r="E53" s="119"/>
      <c r="F53" s="121"/>
      <c r="G53" s="122"/>
      <c r="H53" s="122"/>
      <c r="I53" s="122"/>
      <c r="J53" s="122"/>
      <c r="K53" s="122"/>
      <c r="L53" s="123"/>
      <c r="M53" s="129"/>
      <c r="N53" s="129"/>
      <c r="O53" s="129"/>
    </row>
    <row r="54" spans="2:15" x14ac:dyDescent="0.25">
      <c r="F54" s="138"/>
      <c r="G54" s="138"/>
      <c r="H54" s="129"/>
      <c r="I54" s="129"/>
      <c r="J54" s="129"/>
      <c r="K54" s="129"/>
      <c r="L54" s="129"/>
      <c r="M54" s="129"/>
      <c r="N54" s="129"/>
      <c r="O54" s="129"/>
    </row>
    <row r="55" spans="2:15" x14ac:dyDescent="0.25">
      <c r="F55" s="138"/>
      <c r="G55" s="138"/>
      <c r="H55" s="129"/>
      <c r="I55" s="129"/>
      <c r="J55" s="129"/>
      <c r="K55" s="129"/>
      <c r="L55" s="129"/>
      <c r="M55" s="129"/>
      <c r="N55" s="129"/>
      <c r="O55" s="129"/>
    </row>
    <row r="56" spans="2:15" x14ac:dyDescent="0.25">
      <c r="F56" s="139"/>
      <c r="G56" s="139"/>
    </row>
  </sheetData>
  <sheetProtection algorithmName="SHA-512" hashValue="cEQS8+ipdah1pCFh4Sj5TVR3Rv4T20CNcwk+1AGHHWN8Wkc2o75ajN817VpnqdQz4Xyw3q0zHjCzr3Y8wy8jvg==" saltValue="504bgDPX4/zXMK8N0XyyiA==" spinCount="100000" sheet="1" selectLockedCells="1"/>
  <mergeCells count="93">
    <mergeCell ref="E12:E13"/>
    <mergeCell ref="E14:E15"/>
    <mergeCell ref="E16:E17"/>
    <mergeCell ref="E18:E19"/>
    <mergeCell ref="E20:E21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  <mergeCell ref="L14:L15"/>
    <mergeCell ref="H16:H17"/>
    <mergeCell ref="I16:I17"/>
    <mergeCell ref="J16:J17"/>
    <mergeCell ref="K16:K17"/>
    <mergeCell ref="L16:L17"/>
    <mergeCell ref="H14:H15"/>
    <mergeCell ref="I14:I15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H18:H19"/>
    <mergeCell ref="I18:I19"/>
    <mergeCell ref="J18:J19"/>
    <mergeCell ref="K18:K19"/>
    <mergeCell ref="L18:L19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L20:L21"/>
    <mergeCell ref="B22:B23"/>
    <mergeCell ref="C22:C23"/>
    <mergeCell ref="D22:D23"/>
    <mergeCell ref="F22:F23"/>
    <mergeCell ref="G22:G23"/>
    <mergeCell ref="E22:E23"/>
    <mergeCell ref="H22:H23"/>
    <mergeCell ref="I22:I23"/>
    <mergeCell ref="J22:J23"/>
    <mergeCell ref="K22:K23"/>
    <mergeCell ref="L22:L23"/>
    <mergeCell ref="B24:B25"/>
    <mergeCell ref="C24:C25"/>
    <mergeCell ref="D24:D25"/>
    <mergeCell ref="F24:F25"/>
    <mergeCell ref="G24:G25"/>
    <mergeCell ref="E24:E25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F26:F27"/>
    <mergeCell ref="E26:E27"/>
    <mergeCell ref="L26:L27"/>
    <mergeCell ref="G26:G27"/>
    <mergeCell ref="H26:H27"/>
    <mergeCell ref="I26:I27"/>
    <mergeCell ref="J26:J27"/>
    <mergeCell ref="K26:K27"/>
  </mergeCells>
  <dataValidations count="10">
    <dataValidation type="whole" allowBlank="1" showErrorMessage="1" error="Valor= 0 o 1 _x000a_" sqref="F34:L34" xr:uid="{ED6E96F6-4802-4265-B7A3-7E261DC12DBD}">
      <formula1>0</formula1>
      <formula2>1</formula2>
    </dataValidation>
    <dataValidation type="whole" allowBlank="1" showErrorMessage="1" error="Valor= 0 o 1 " promptTitle="jjjjj" sqref="F12:L15" xr:uid="{346DF467-A397-46C3-9B6D-FEE13D97C5E3}">
      <formula1>0</formula1>
      <formula2>1</formula2>
    </dataValidation>
    <dataValidation type="whole" allowBlank="1" showInputMessage="1" showErrorMessage="1" error="Valor=0 _x000a_" sqref="F18:L19" xr:uid="{9FB85EC9-19EA-4B5C-8D23-52C9E55EDA97}">
      <formula1>0</formula1>
      <formula2>0</formula2>
    </dataValidation>
    <dataValidation type="whole" allowBlank="1" showInputMessage="1" showErrorMessage="1" error="Valor= 0 o 1 _x000a_" sqref="F35:L35 F39:L39" xr:uid="{DD3F9EAF-8350-4E79-B101-8633E6B29BD4}">
      <formula1>0</formula1>
      <formula2>1</formula2>
    </dataValidation>
    <dataValidation type="whole" allowBlank="1" showInputMessage="1" showErrorMessage="1" error="Valor=1" sqref="F43:L43" xr:uid="{69163A92-4A91-4B55-AB51-5FA225960617}">
      <formula1>1</formula1>
      <formula2>1</formula2>
    </dataValidation>
    <dataValidation type="whole" allowBlank="1" showInputMessage="1" showErrorMessage="1" error="Valor=0 o 1" sqref="F46:L53 E46:E53 E12:E15" xr:uid="{B1AD53FF-6C7A-4E91-AD3B-1F9DD87D5333}">
      <formula1>0</formula1>
      <formula2>1</formula2>
    </dataValidation>
    <dataValidation type="textLength" allowBlank="1" showInputMessage="1" showErrorMessage="1" error="El NIF introduit no és vàlid " sqref="C8" xr:uid="{3A31361D-2711-4E9D-9B70-F2DCA477887A}">
      <formula1>9</formula1>
      <formula2>9</formula2>
    </dataValidation>
    <dataValidation type="whole" operator="equal" allowBlank="1" showInputMessage="1" showErrorMessage="1" error="Valor=0 " sqref="E18:E19" xr:uid="{28E320F8-0E98-41BB-BD71-194292094A26}">
      <formula1>0</formula1>
    </dataValidation>
    <dataValidation type="whole" allowBlank="1" showInputMessage="1" showErrorMessage="1" error="Valor= 0 o 1" sqref="E34:E35 E39" xr:uid="{D5B768BA-7339-4CEE-AF82-5B09EEF2CD0D}">
      <formula1>0</formula1>
      <formula2>1</formula2>
    </dataValidation>
    <dataValidation type="whole" operator="equal" allowBlank="1" showInputMessage="1" showErrorMessage="1" error="Valor=  1" sqref="E43" xr:uid="{E7D3A184-5FB1-48DA-BA85-47DEDB964CDC}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L14"/>
  <sheetViews>
    <sheetView workbookViewId="0">
      <selection activeCell="E13" sqref="E13"/>
    </sheetView>
  </sheetViews>
  <sheetFormatPr defaultColWidth="11.42578125" defaultRowHeight="15" x14ac:dyDescent="0.25"/>
  <cols>
    <col min="1" max="1" width="17.140625" customWidth="1"/>
    <col min="2" max="2" width="24.7109375" customWidth="1"/>
    <col min="3" max="3" width="10.28515625" bestFit="1" customWidth="1"/>
    <col min="4" max="4" width="39.85546875" customWidth="1"/>
    <col min="5" max="5" width="12.42578125" customWidth="1"/>
    <col min="6" max="6" width="12" customWidth="1"/>
    <col min="7" max="7" width="12.85546875" customWidth="1"/>
    <col min="8" max="8" width="12.140625" customWidth="1"/>
    <col min="9" max="9" width="12" customWidth="1"/>
    <col min="10" max="10" width="12.42578125" customWidth="1"/>
    <col min="11" max="11" width="12.7109375" customWidth="1"/>
    <col min="12" max="13" width="12.140625" customWidth="1"/>
    <col min="14" max="14" width="12.42578125" customWidth="1"/>
    <col min="15" max="15" width="12.28515625" customWidth="1"/>
    <col min="16" max="16" width="12.42578125" customWidth="1"/>
    <col min="17" max="17" width="12.5703125" customWidth="1"/>
    <col min="18" max="18" width="13.140625" customWidth="1"/>
    <col min="19" max="19" width="13.28515625" customWidth="1"/>
    <col min="20" max="21" width="13.5703125" customWidth="1"/>
    <col min="22" max="22" width="12.5703125" customWidth="1"/>
    <col min="23" max="23" width="12.85546875" customWidth="1"/>
    <col min="24" max="24" width="13.140625" customWidth="1"/>
    <col min="25" max="25" width="14" customWidth="1"/>
    <col min="26" max="26" width="13.140625" customWidth="1"/>
    <col min="27" max="27" width="14.5703125" customWidth="1"/>
    <col min="28" max="29" width="13.5703125" customWidth="1"/>
    <col min="30" max="30" width="12.140625" customWidth="1"/>
    <col min="31" max="31" width="12.5703125" customWidth="1"/>
    <col min="32" max="32" width="13.28515625" customWidth="1"/>
    <col min="33" max="33" width="12.42578125" customWidth="1"/>
    <col min="34" max="35" width="12.85546875" customWidth="1"/>
    <col min="36" max="37" width="13.7109375" customWidth="1"/>
    <col min="38" max="38" width="15.140625" customWidth="1"/>
    <col min="39" max="39" width="15" customWidth="1"/>
    <col min="40" max="40" width="14.5703125" customWidth="1"/>
    <col min="41" max="41" width="15" customWidth="1"/>
    <col min="42" max="42" width="16.140625" customWidth="1"/>
    <col min="43" max="43" width="15.42578125" customWidth="1"/>
    <col min="44" max="45" width="15" customWidth="1"/>
    <col min="46" max="46" width="15.140625" customWidth="1"/>
    <col min="47" max="47" width="15.42578125" customWidth="1"/>
    <col min="48" max="48" width="15.5703125" customWidth="1"/>
    <col min="49" max="49" width="15.140625" customWidth="1"/>
    <col min="50" max="50" width="15" customWidth="1"/>
    <col min="51" max="51" width="15.42578125" customWidth="1"/>
    <col min="52" max="52" width="19.140625" customWidth="1"/>
    <col min="53" max="53" width="15.5703125" customWidth="1"/>
    <col min="54" max="54" width="15.28515625" customWidth="1"/>
    <col min="55" max="55" width="14.28515625" customWidth="1"/>
    <col min="56" max="56" width="14.42578125" customWidth="1"/>
    <col min="57" max="57" width="13.7109375" customWidth="1"/>
    <col min="58" max="58" width="15.42578125" customWidth="1"/>
    <col min="59" max="59" width="14.7109375" customWidth="1"/>
    <col min="60" max="61" width="15.42578125" customWidth="1"/>
    <col min="62" max="62" width="15.85546875" customWidth="1"/>
    <col min="63" max="63" width="14.85546875" customWidth="1"/>
    <col min="64" max="64" width="15.5703125" customWidth="1"/>
    <col min="65" max="65" width="16" customWidth="1"/>
    <col min="66" max="66" width="16.28515625" customWidth="1"/>
    <col min="67" max="67" width="16.140625" customWidth="1"/>
    <col min="68" max="69" width="15.5703125" customWidth="1"/>
    <col min="70" max="70" width="13.85546875" customWidth="1"/>
    <col min="71" max="71" width="14.140625" customWidth="1"/>
    <col min="72" max="72" width="14.42578125" customWidth="1"/>
    <col min="73" max="74" width="13.85546875" customWidth="1"/>
    <col min="75" max="75" width="14" customWidth="1"/>
    <col min="76" max="77" width="13.7109375" customWidth="1"/>
    <col min="78" max="79" width="14.140625" customWidth="1"/>
    <col min="80" max="80" width="13.42578125" customWidth="1"/>
    <col min="81" max="81" width="14.42578125" customWidth="1"/>
    <col min="82" max="82" width="13.7109375" customWidth="1"/>
    <col min="83" max="83" width="13.28515625" customWidth="1"/>
    <col min="84" max="85" width="13.42578125" customWidth="1"/>
    <col min="86" max="86" width="13.5703125" customWidth="1"/>
    <col min="87" max="87" width="13.85546875" customWidth="1"/>
    <col min="88" max="88" width="13.28515625" customWidth="1"/>
    <col min="89" max="89" width="14.7109375" customWidth="1"/>
    <col min="90" max="90" width="14.140625" customWidth="1"/>
    <col min="91" max="91" width="13.42578125" customWidth="1"/>
    <col min="92" max="92" width="13.85546875" customWidth="1"/>
    <col min="93" max="93" width="15.42578125" customWidth="1"/>
    <col min="94" max="94" width="15.85546875" customWidth="1"/>
    <col min="95" max="95" width="15.140625" customWidth="1"/>
    <col min="96" max="96" width="15" customWidth="1"/>
    <col min="97" max="97" width="15.5703125" customWidth="1"/>
    <col min="98" max="98" width="15.85546875" customWidth="1"/>
    <col min="99" max="99" width="15" customWidth="1"/>
    <col min="100" max="102" width="16" customWidth="1"/>
    <col min="103" max="103" width="15.140625" customWidth="1"/>
    <col min="104" max="105" width="16" customWidth="1"/>
    <col min="106" max="106" width="16.140625" customWidth="1"/>
    <col min="107" max="107" width="15.85546875" customWidth="1"/>
    <col min="108" max="109" width="15.28515625" customWidth="1"/>
    <col min="110" max="110" width="16.42578125" customWidth="1"/>
    <col min="111" max="111" width="13.28515625" customWidth="1"/>
    <col min="112" max="112" width="13.85546875" customWidth="1"/>
    <col min="113" max="113" width="14.140625" customWidth="1"/>
    <col min="114" max="114" width="14.5703125" customWidth="1"/>
    <col min="115" max="115" width="14.42578125" customWidth="1"/>
    <col min="116" max="117" width="14.28515625" customWidth="1"/>
    <col min="118" max="118" width="13.28515625" customWidth="1"/>
    <col min="119" max="119" width="14.42578125" customWidth="1"/>
    <col min="120" max="120" width="13.28515625" customWidth="1"/>
    <col min="121" max="121" width="14.140625" customWidth="1"/>
    <col min="122" max="122" width="13.85546875" customWidth="1"/>
    <col min="123" max="123" width="13.7109375" customWidth="1"/>
    <col min="124" max="125" width="13.5703125" customWidth="1"/>
    <col min="126" max="126" width="14.140625" customWidth="1"/>
    <col min="127" max="127" width="13.7109375" customWidth="1"/>
    <col min="128" max="128" width="13.5703125" customWidth="1"/>
    <col min="129" max="129" width="13.85546875" customWidth="1"/>
    <col min="130" max="130" width="14.42578125" customWidth="1"/>
    <col min="131" max="133" width="14" customWidth="1"/>
    <col min="134" max="134" width="15.7109375" customWidth="1"/>
    <col min="135" max="135" width="15.28515625" customWidth="1"/>
    <col min="136" max="136" width="15" customWidth="1"/>
    <col min="137" max="137" width="14.5703125" customWidth="1"/>
    <col min="138" max="138" width="15.5703125" customWidth="1"/>
    <col min="139" max="139" width="14.5703125" customWidth="1"/>
    <col min="140" max="141" width="15" customWidth="1"/>
    <col min="142" max="142" width="14.28515625" customWidth="1"/>
    <col min="143" max="143" width="15.140625" customWidth="1"/>
    <col min="144" max="144" width="14.7109375" customWidth="1"/>
    <col min="145" max="145" width="14.85546875" customWidth="1"/>
    <col min="146" max="146" width="13.5703125" customWidth="1"/>
    <col min="147" max="147" width="14.28515625" customWidth="1"/>
    <col min="148" max="149" width="15.28515625" customWidth="1"/>
    <col min="150" max="150" width="14.28515625" customWidth="1"/>
    <col min="151" max="152" width="13.85546875" customWidth="1"/>
    <col min="153" max="153" width="14.5703125" customWidth="1"/>
    <col min="154" max="154" width="15" customWidth="1"/>
    <col min="155" max="155" width="14" customWidth="1"/>
    <col min="156" max="157" width="13.7109375" customWidth="1"/>
    <col min="158" max="158" width="15.42578125" customWidth="1"/>
    <col min="159" max="159" width="15" customWidth="1"/>
    <col min="160" max="160" width="15.5703125" customWidth="1"/>
    <col min="161" max="161" width="15.28515625" customWidth="1"/>
    <col min="162" max="162" width="15.85546875" customWidth="1"/>
    <col min="163" max="163" width="14" customWidth="1"/>
    <col min="164" max="165" width="14.5703125" customWidth="1"/>
    <col min="166" max="166" width="13.85546875" customWidth="1"/>
    <col min="167" max="167" width="14.28515625" customWidth="1"/>
    <col min="168" max="168" width="14" customWidth="1"/>
    <col min="169" max="169" width="14.5703125" customWidth="1"/>
    <col min="170" max="170" width="14.28515625" customWidth="1"/>
    <col min="171" max="171" width="13.7109375" customWidth="1"/>
    <col min="172" max="173" width="15" customWidth="1"/>
    <col min="174" max="174" width="14.42578125" customWidth="1"/>
    <col min="175" max="175" width="14.7109375" customWidth="1"/>
    <col min="176" max="176" width="14.42578125" customWidth="1"/>
    <col min="177" max="177" width="14.5703125" customWidth="1"/>
    <col min="178" max="178" width="14.42578125" customWidth="1"/>
    <col min="179" max="179" width="14.85546875" customWidth="1"/>
    <col min="180" max="181" width="14" customWidth="1"/>
    <col min="182" max="182" width="13.5703125" customWidth="1"/>
    <col min="183" max="183" width="14.28515625" customWidth="1"/>
    <col min="184" max="184" width="13.7109375" customWidth="1"/>
    <col min="185" max="185" width="14.140625" customWidth="1"/>
    <col min="186" max="186" width="13.7109375" customWidth="1"/>
    <col min="187" max="187" width="14.140625" customWidth="1"/>
    <col min="188" max="189" width="15" customWidth="1"/>
    <col min="190" max="190" width="13.5703125" customWidth="1"/>
    <col min="191" max="191" width="14.28515625" customWidth="1"/>
    <col min="192" max="192" width="14.5703125" customWidth="1"/>
    <col min="193" max="193" width="14" customWidth="1"/>
    <col min="194" max="194" width="13.5703125" customWidth="1"/>
    <col min="195" max="195" width="13.85546875" customWidth="1"/>
    <col min="196" max="197" width="14" customWidth="1"/>
    <col min="198" max="198" width="14.28515625" customWidth="1"/>
    <col min="199" max="199" width="14.85546875" customWidth="1"/>
    <col min="200" max="200" width="14.5703125" customWidth="1"/>
    <col min="201" max="201" width="14.42578125" customWidth="1"/>
    <col min="202" max="202" width="14.140625" customWidth="1"/>
    <col min="203" max="203" width="14.28515625" customWidth="1"/>
    <col min="204" max="206" width="14.7109375" customWidth="1"/>
    <col min="207" max="207" width="13.42578125" customWidth="1"/>
    <col min="208" max="208" width="14.42578125" customWidth="1"/>
    <col min="209" max="209" width="14.140625" customWidth="1"/>
    <col min="210" max="210" width="14.7109375" customWidth="1"/>
    <col min="211" max="211" width="13.85546875" customWidth="1"/>
    <col min="212" max="213" width="14.28515625" customWidth="1"/>
    <col min="214" max="214" width="14.7109375" customWidth="1"/>
    <col min="215" max="215" width="14.140625" customWidth="1"/>
    <col min="216" max="216" width="14" customWidth="1"/>
    <col min="217" max="217" width="14.5703125" customWidth="1"/>
    <col min="218" max="218" width="13.7109375" customWidth="1"/>
    <col min="219" max="219" width="14.140625" customWidth="1"/>
    <col min="220" max="221" width="13.7109375" customWidth="1"/>
    <col min="222" max="222" width="14" customWidth="1"/>
    <col min="223" max="223" width="14.7109375" customWidth="1"/>
    <col min="224" max="224" width="14.85546875" customWidth="1"/>
    <col min="225" max="225" width="13.5703125" customWidth="1"/>
    <col min="226" max="226" width="14.28515625" customWidth="1"/>
    <col min="227" max="227" width="14.5703125" customWidth="1"/>
    <col min="228" max="229" width="14.140625" customWidth="1"/>
    <col min="230" max="230" width="14.5703125" customWidth="1"/>
    <col min="231" max="231" width="14.7109375" customWidth="1"/>
    <col min="232" max="233" width="14.140625" customWidth="1"/>
    <col min="234" max="234" width="15.7109375" customWidth="1"/>
    <col min="235" max="235" width="14.85546875" customWidth="1"/>
    <col min="236" max="237" width="14" customWidth="1"/>
    <col min="238" max="238" width="13.42578125" customWidth="1"/>
    <col min="239" max="239" width="13.85546875" customWidth="1"/>
    <col min="240" max="240" width="14.140625" customWidth="1"/>
    <col min="241" max="241" width="14.7109375" customWidth="1"/>
    <col min="242" max="242" width="14.28515625" customWidth="1"/>
    <col min="243" max="243" width="13.42578125" customWidth="1"/>
    <col min="244" max="245" width="14.140625" customWidth="1"/>
    <col min="246" max="246" width="14.7109375" customWidth="1"/>
    <col min="247" max="247" width="14.85546875" customWidth="1"/>
    <col min="248" max="248" width="14.42578125" customWidth="1"/>
    <col min="249" max="249" width="14.140625" customWidth="1"/>
    <col min="250" max="250" width="14" customWidth="1"/>
    <col min="251" max="251" width="13.42578125" customWidth="1"/>
    <col min="252" max="253" width="13.5703125" customWidth="1"/>
    <col min="254" max="254" width="14.85546875" customWidth="1"/>
    <col min="255" max="256" width="13.7109375" customWidth="1"/>
    <col min="257" max="257" width="14.7109375" customWidth="1"/>
    <col min="258" max="258" width="14.5703125" customWidth="1"/>
    <col min="259" max="259" width="14.140625" customWidth="1"/>
    <col min="260" max="261" width="14.28515625" customWidth="1"/>
    <col min="262" max="262" width="13.7109375" customWidth="1"/>
    <col min="263" max="263" width="14.140625" customWidth="1"/>
    <col min="264" max="264" width="13.7109375" customWidth="1"/>
    <col min="265" max="265" width="15.140625" customWidth="1"/>
    <col min="266" max="266" width="14.28515625" customWidth="1"/>
    <col min="267" max="267" width="14.140625" customWidth="1"/>
    <col min="268" max="268" width="14.42578125" customWidth="1"/>
  </cols>
  <sheetData>
    <row r="1" spans="1:272" ht="16.5" thickTop="1" thickBot="1" x14ac:dyDescent="0.3">
      <c r="A1" t="s">
        <v>78</v>
      </c>
      <c r="B1" t="s">
        <v>79</v>
      </c>
      <c r="C1" t="s">
        <v>81</v>
      </c>
      <c r="D1" t="s">
        <v>92</v>
      </c>
      <c r="E1" s="30" t="s">
        <v>326</v>
      </c>
      <c r="F1" s="30" t="s">
        <v>94</v>
      </c>
      <c r="G1" s="30" t="s">
        <v>95</v>
      </c>
      <c r="H1" s="30" t="s">
        <v>96</v>
      </c>
      <c r="I1" s="30" t="s">
        <v>97</v>
      </c>
      <c r="J1" s="30" t="s">
        <v>98</v>
      </c>
      <c r="K1" s="30" t="s">
        <v>99</v>
      </c>
      <c r="L1" s="30" t="s">
        <v>100</v>
      </c>
      <c r="M1" s="11" t="s">
        <v>358</v>
      </c>
      <c r="N1" s="11" t="s">
        <v>101</v>
      </c>
      <c r="O1" s="11" t="s">
        <v>102</v>
      </c>
      <c r="P1" s="11" t="s">
        <v>103</v>
      </c>
      <c r="Q1" s="11" t="s">
        <v>104</v>
      </c>
      <c r="R1" s="11" t="s">
        <v>105</v>
      </c>
      <c r="S1" s="11" t="s">
        <v>106</v>
      </c>
      <c r="T1" s="11" t="s">
        <v>107</v>
      </c>
      <c r="U1" s="31" t="s">
        <v>327</v>
      </c>
      <c r="V1" s="31" t="s">
        <v>108</v>
      </c>
      <c r="W1" s="31" t="s">
        <v>109</v>
      </c>
      <c r="X1" s="31" t="s">
        <v>110</v>
      </c>
      <c r="Y1" s="31" t="s">
        <v>111</v>
      </c>
      <c r="Z1" s="31" t="s">
        <v>112</v>
      </c>
      <c r="AA1" s="31" t="s">
        <v>113</v>
      </c>
      <c r="AB1" s="31" t="s">
        <v>114</v>
      </c>
      <c r="AC1" s="11" t="s">
        <v>328</v>
      </c>
      <c r="AD1" s="11" t="s">
        <v>115</v>
      </c>
      <c r="AE1" s="11" t="s">
        <v>116</v>
      </c>
      <c r="AF1" s="11" t="s">
        <v>117</v>
      </c>
      <c r="AG1" s="11" t="s">
        <v>118</v>
      </c>
      <c r="AH1" s="11" t="s">
        <v>119</v>
      </c>
      <c r="AI1" s="11" t="s">
        <v>120</v>
      </c>
      <c r="AJ1" s="11" t="s">
        <v>121</v>
      </c>
      <c r="AK1" s="30" t="s">
        <v>329</v>
      </c>
      <c r="AL1" s="30" t="s">
        <v>122</v>
      </c>
      <c r="AM1" s="30" t="s">
        <v>123</v>
      </c>
      <c r="AN1" s="30" t="s">
        <v>124</v>
      </c>
      <c r="AO1" s="30" t="s">
        <v>125</v>
      </c>
      <c r="AP1" s="30" t="s">
        <v>126</v>
      </c>
      <c r="AQ1" s="30" t="s">
        <v>127</v>
      </c>
      <c r="AR1" s="30" t="s">
        <v>128</v>
      </c>
      <c r="AS1" s="31" t="s">
        <v>330</v>
      </c>
      <c r="AT1" s="31" t="s">
        <v>129</v>
      </c>
      <c r="AU1" s="31" t="s">
        <v>130</v>
      </c>
      <c r="AV1" s="31" t="s">
        <v>131</v>
      </c>
      <c r="AW1" s="31" t="s">
        <v>132</v>
      </c>
      <c r="AX1" s="31" t="s">
        <v>133</v>
      </c>
      <c r="AY1" s="31" t="s">
        <v>134</v>
      </c>
      <c r="AZ1" s="31" t="s">
        <v>135</v>
      </c>
      <c r="BA1" s="11" t="s">
        <v>331</v>
      </c>
      <c r="BB1" s="11" t="s">
        <v>136</v>
      </c>
      <c r="BC1" s="11" t="s">
        <v>137</v>
      </c>
      <c r="BD1" s="11" t="s">
        <v>138</v>
      </c>
      <c r="BE1" s="11" t="s">
        <v>139</v>
      </c>
      <c r="BF1" s="11" t="s">
        <v>140</v>
      </c>
      <c r="BG1" s="11" t="s">
        <v>141</v>
      </c>
      <c r="BH1" s="11" t="s">
        <v>142</v>
      </c>
      <c r="BI1" s="30" t="s">
        <v>332</v>
      </c>
      <c r="BJ1" s="30" t="s">
        <v>143</v>
      </c>
      <c r="BK1" s="30" t="s">
        <v>144</v>
      </c>
      <c r="BL1" s="30" t="s">
        <v>145</v>
      </c>
      <c r="BM1" s="30" t="s">
        <v>146</v>
      </c>
      <c r="BN1" s="30" t="s">
        <v>147</v>
      </c>
      <c r="BO1" s="30" t="s">
        <v>148</v>
      </c>
      <c r="BP1" s="30" t="s">
        <v>149</v>
      </c>
      <c r="BQ1" s="11" t="s">
        <v>333</v>
      </c>
      <c r="BR1" s="11" t="s">
        <v>150</v>
      </c>
      <c r="BS1" s="11" t="s">
        <v>151</v>
      </c>
      <c r="BT1" s="11" t="s">
        <v>152</v>
      </c>
      <c r="BU1" s="11" t="s">
        <v>153</v>
      </c>
      <c r="BV1" s="11" t="s">
        <v>154</v>
      </c>
      <c r="BW1" s="11" t="s">
        <v>155</v>
      </c>
      <c r="BX1" s="11" t="s">
        <v>156</v>
      </c>
      <c r="BY1" s="10" t="s">
        <v>334</v>
      </c>
      <c r="BZ1" s="10" t="s">
        <v>157</v>
      </c>
      <c r="CA1" s="10" t="s">
        <v>158</v>
      </c>
      <c r="CB1" s="10" t="s">
        <v>159</v>
      </c>
      <c r="CC1" s="10" t="s">
        <v>160</v>
      </c>
      <c r="CD1" s="10" t="s">
        <v>161</v>
      </c>
      <c r="CE1" s="10" t="s">
        <v>162</v>
      </c>
      <c r="CF1" s="10" t="s">
        <v>163</v>
      </c>
      <c r="CG1" s="12" t="s">
        <v>335</v>
      </c>
      <c r="CH1" s="12" t="s">
        <v>164</v>
      </c>
      <c r="CI1" s="12" t="s">
        <v>165</v>
      </c>
      <c r="CJ1" s="12" t="s">
        <v>166</v>
      </c>
      <c r="CK1" s="12" t="s">
        <v>167</v>
      </c>
      <c r="CL1" s="12" t="s">
        <v>168</v>
      </c>
      <c r="CM1" s="12" t="s">
        <v>169</v>
      </c>
      <c r="CN1" s="12" t="s">
        <v>170</v>
      </c>
      <c r="CO1" s="13" t="s">
        <v>336</v>
      </c>
      <c r="CP1" s="13" t="s">
        <v>171</v>
      </c>
      <c r="CQ1" s="13" t="s">
        <v>172</v>
      </c>
      <c r="CR1" s="13" t="s">
        <v>173</v>
      </c>
      <c r="CS1" s="13" t="s">
        <v>174</v>
      </c>
      <c r="CT1" s="13" t="s">
        <v>175</v>
      </c>
      <c r="CU1" s="13" t="s">
        <v>176</v>
      </c>
      <c r="CV1" s="13" t="s">
        <v>177</v>
      </c>
      <c r="CW1" s="14" t="s">
        <v>337</v>
      </c>
      <c r="CX1" s="14" t="s">
        <v>178</v>
      </c>
      <c r="CY1" s="14" t="s">
        <v>179</v>
      </c>
      <c r="CZ1" s="14" t="s">
        <v>180</v>
      </c>
      <c r="DA1" s="14" t="s">
        <v>181</v>
      </c>
      <c r="DB1" s="14" t="s">
        <v>182</v>
      </c>
      <c r="DC1" s="14" t="s">
        <v>183</v>
      </c>
      <c r="DD1" s="14" t="s">
        <v>184</v>
      </c>
      <c r="DE1" s="15" t="s">
        <v>338</v>
      </c>
      <c r="DF1" s="15" t="s">
        <v>185</v>
      </c>
      <c r="DG1" s="15" t="s">
        <v>186</v>
      </c>
      <c r="DH1" s="15" t="s">
        <v>187</v>
      </c>
      <c r="DI1" s="15" t="s">
        <v>188</v>
      </c>
      <c r="DJ1" s="15" t="s">
        <v>189</v>
      </c>
      <c r="DK1" s="15" t="s">
        <v>190</v>
      </c>
      <c r="DL1" s="15" t="s">
        <v>191</v>
      </c>
      <c r="DM1" s="16" t="s">
        <v>339</v>
      </c>
      <c r="DN1" s="16" t="s">
        <v>192</v>
      </c>
      <c r="DO1" s="16" t="s">
        <v>193</v>
      </c>
      <c r="DP1" s="16" t="s">
        <v>194</v>
      </c>
      <c r="DQ1" s="16" t="s">
        <v>195</v>
      </c>
      <c r="DR1" s="16" t="s">
        <v>196</v>
      </c>
      <c r="DS1" s="16" t="s">
        <v>197</v>
      </c>
      <c r="DT1" s="16" t="s">
        <v>198</v>
      </c>
      <c r="DU1" s="17" t="s">
        <v>340</v>
      </c>
      <c r="DV1" s="17" t="s">
        <v>199</v>
      </c>
      <c r="DW1" s="17" t="s">
        <v>200</v>
      </c>
      <c r="DX1" s="17" t="s">
        <v>201</v>
      </c>
      <c r="DY1" s="17" t="s">
        <v>202</v>
      </c>
      <c r="DZ1" s="17" t="s">
        <v>203</v>
      </c>
      <c r="EA1" s="17" t="s">
        <v>204</v>
      </c>
      <c r="EB1" s="17" t="s">
        <v>205</v>
      </c>
      <c r="EC1" s="18" t="s">
        <v>341</v>
      </c>
      <c r="ED1" s="18" t="s">
        <v>206</v>
      </c>
      <c r="EE1" s="18" t="s">
        <v>207</v>
      </c>
      <c r="EF1" s="18" t="s">
        <v>208</v>
      </c>
      <c r="EG1" s="18" t="s">
        <v>209</v>
      </c>
      <c r="EH1" s="18" t="s">
        <v>210</v>
      </c>
      <c r="EI1" s="18" t="s">
        <v>211</v>
      </c>
      <c r="EJ1" s="18" t="s">
        <v>212</v>
      </c>
      <c r="EK1" s="17" t="s">
        <v>342</v>
      </c>
      <c r="EL1" s="17" t="s">
        <v>213</v>
      </c>
      <c r="EM1" s="17" t="s">
        <v>214</v>
      </c>
      <c r="EN1" s="17" t="s">
        <v>215</v>
      </c>
      <c r="EO1" s="17" t="s">
        <v>216</v>
      </c>
      <c r="EP1" s="17" t="s">
        <v>217</v>
      </c>
      <c r="EQ1" s="17" t="s">
        <v>218</v>
      </c>
      <c r="ER1" s="17" t="s">
        <v>219</v>
      </c>
      <c r="ES1" s="19" t="s">
        <v>343</v>
      </c>
      <c r="ET1" s="19" t="s">
        <v>220</v>
      </c>
      <c r="EU1" s="19" t="s">
        <v>221</v>
      </c>
      <c r="EV1" s="19" t="s">
        <v>222</v>
      </c>
      <c r="EW1" s="19" t="s">
        <v>223</v>
      </c>
      <c r="EX1" s="19" t="s">
        <v>224</v>
      </c>
      <c r="EY1" s="19" t="s">
        <v>225</v>
      </c>
      <c r="EZ1" s="19" t="s">
        <v>226</v>
      </c>
      <c r="FA1" s="18" t="s">
        <v>344</v>
      </c>
      <c r="FB1" s="18" t="s">
        <v>227</v>
      </c>
      <c r="FC1" s="18" t="s">
        <v>228</v>
      </c>
      <c r="FD1" s="18" t="s">
        <v>229</v>
      </c>
      <c r="FE1" s="18" t="s">
        <v>230</v>
      </c>
      <c r="FF1" s="18" t="s">
        <v>231</v>
      </c>
      <c r="FG1" s="18" t="s">
        <v>232</v>
      </c>
      <c r="FH1" s="18" t="s">
        <v>233</v>
      </c>
      <c r="FI1" s="20" t="s">
        <v>345</v>
      </c>
      <c r="FJ1" s="20" t="s">
        <v>234</v>
      </c>
      <c r="FK1" s="20" t="s">
        <v>235</v>
      </c>
      <c r="FL1" s="20" t="s">
        <v>236</v>
      </c>
      <c r="FM1" s="20" t="s">
        <v>237</v>
      </c>
      <c r="FN1" s="20" t="s">
        <v>238</v>
      </c>
      <c r="FO1" s="20" t="s">
        <v>239</v>
      </c>
      <c r="FP1" s="20" t="s">
        <v>240</v>
      </c>
      <c r="FQ1" s="17" t="s">
        <v>346</v>
      </c>
      <c r="FR1" s="17" t="s">
        <v>241</v>
      </c>
      <c r="FS1" s="17" t="s">
        <v>242</v>
      </c>
      <c r="FT1" s="17" t="s">
        <v>243</v>
      </c>
      <c r="FU1" s="17" t="s">
        <v>244</v>
      </c>
      <c r="FV1" s="17" t="s">
        <v>245</v>
      </c>
      <c r="FW1" s="17" t="s">
        <v>246</v>
      </c>
      <c r="FX1" s="17" t="s">
        <v>247</v>
      </c>
      <c r="FY1" s="18" t="s">
        <v>347</v>
      </c>
      <c r="FZ1" s="18" t="s">
        <v>248</v>
      </c>
      <c r="GA1" s="18" t="s">
        <v>249</v>
      </c>
      <c r="GB1" s="18" t="s">
        <v>250</v>
      </c>
      <c r="GC1" s="18" t="s">
        <v>251</v>
      </c>
      <c r="GD1" s="18" t="s">
        <v>252</v>
      </c>
      <c r="GE1" s="18" t="s">
        <v>253</v>
      </c>
      <c r="GF1" s="18" t="s">
        <v>254</v>
      </c>
      <c r="GG1" s="19" t="s">
        <v>348</v>
      </c>
      <c r="GH1" s="19" t="s">
        <v>255</v>
      </c>
      <c r="GI1" s="19" t="s">
        <v>256</v>
      </c>
      <c r="GJ1" s="19" t="s">
        <v>257</v>
      </c>
      <c r="GK1" s="19" t="s">
        <v>258</v>
      </c>
      <c r="GL1" s="19" t="s">
        <v>259</v>
      </c>
      <c r="GM1" s="19" t="s">
        <v>260</v>
      </c>
      <c r="GN1" s="19" t="s">
        <v>261</v>
      </c>
      <c r="GO1" s="21" t="s">
        <v>349</v>
      </c>
      <c r="GP1" s="21" t="s">
        <v>262</v>
      </c>
      <c r="GQ1" s="21" t="s">
        <v>263</v>
      </c>
      <c r="GR1" s="21" t="s">
        <v>264</v>
      </c>
      <c r="GS1" s="21" t="s">
        <v>265</v>
      </c>
      <c r="GT1" s="21" t="s">
        <v>266</v>
      </c>
      <c r="GU1" s="21" t="s">
        <v>267</v>
      </c>
      <c r="GV1" s="21" t="s">
        <v>268</v>
      </c>
      <c r="GW1" s="22" t="s">
        <v>350</v>
      </c>
      <c r="GX1" s="22" t="s">
        <v>269</v>
      </c>
      <c r="GY1" s="22" t="s">
        <v>270</v>
      </c>
      <c r="GZ1" s="22" t="s">
        <v>271</v>
      </c>
      <c r="HA1" s="22" t="s">
        <v>272</v>
      </c>
      <c r="HB1" s="22" t="s">
        <v>273</v>
      </c>
      <c r="HC1" s="22" t="s">
        <v>274</v>
      </c>
      <c r="HD1" s="22" t="s">
        <v>275</v>
      </c>
      <c r="HE1" s="23" t="s">
        <v>351</v>
      </c>
      <c r="HF1" s="23" t="s">
        <v>276</v>
      </c>
      <c r="HG1" s="23" t="s">
        <v>277</v>
      </c>
      <c r="HH1" s="23" t="s">
        <v>278</v>
      </c>
      <c r="HI1" s="23" t="s">
        <v>279</v>
      </c>
      <c r="HJ1" s="23" t="s">
        <v>280</v>
      </c>
      <c r="HK1" s="23" t="s">
        <v>281</v>
      </c>
      <c r="HL1" s="23" t="s">
        <v>282</v>
      </c>
      <c r="HM1" s="17" t="s">
        <v>352</v>
      </c>
      <c r="HN1" s="17" t="s">
        <v>283</v>
      </c>
      <c r="HO1" s="17" t="s">
        <v>284</v>
      </c>
      <c r="HP1" s="17" t="s">
        <v>285</v>
      </c>
      <c r="HQ1" s="17" t="s">
        <v>286</v>
      </c>
      <c r="HR1" s="17" t="s">
        <v>287</v>
      </c>
      <c r="HS1" s="17" t="s">
        <v>288</v>
      </c>
      <c r="HT1" s="17" t="s">
        <v>289</v>
      </c>
      <c r="HU1" s="18" t="s">
        <v>353</v>
      </c>
      <c r="HV1" s="18" t="s">
        <v>290</v>
      </c>
      <c r="HW1" s="18" t="s">
        <v>291</v>
      </c>
      <c r="HX1" s="18" t="s">
        <v>292</v>
      </c>
      <c r="HY1" s="18" t="s">
        <v>293</v>
      </c>
      <c r="HZ1" s="18" t="s">
        <v>294</v>
      </c>
      <c r="IA1" s="18" t="s">
        <v>295</v>
      </c>
      <c r="IB1" s="18" t="s">
        <v>296</v>
      </c>
      <c r="IC1" s="19" t="s">
        <v>354</v>
      </c>
      <c r="ID1" s="19" t="s">
        <v>297</v>
      </c>
      <c r="IE1" s="19" t="s">
        <v>298</v>
      </c>
      <c r="IF1" s="19" t="s">
        <v>299</v>
      </c>
      <c r="IG1" s="19" t="s">
        <v>300</v>
      </c>
      <c r="IH1" s="19" t="s">
        <v>301</v>
      </c>
      <c r="II1" s="19" t="s">
        <v>302</v>
      </c>
      <c r="IJ1" s="19" t="s">
        <v>303</v>
      </c>
      <c r="IK1" s="18" t="s">
        <v>355</v>
      </c>
      <c r="IL1" s="18" t="s">
        <v>304</v>
      </c>
      <c r="IM1" s="18" t="s">
        <v>305</v>
      </c>
      <c r="IN1" s="18" t="s">
        <v>306</v>
      </c>
      <c r="IO1" s="18" t="s">
        <v>307</v>
      </c>
      <c r="IP1" s="18" t="s">
        <v>308</v>
      </c>
      <c r="IQ1" s="18" t="s">
        <v>309</v>
      </c>
      <c r="IR1" s="18" t="s">
        <v>310</v>
      </c>
      <c r="IS1" s="20" t="s">
        <v>356</v>
      </c>
      <c r="IT1" s="20" t="s">
        <v>311</v>
      </c>
      <c r="IU1" s="20" t="s">
        <v>312</v>
      </c>
      <c r="IV1" s="20" t="s">
        <v>313</v>
      </c>
      <c r="IW1" s="20" t="s">
        <v>314</v>
      </c>
      <c r="IX1" s="20" t="s">
        <v>315</v>
      </c>
      <c r="IY1" s="20" t="s">
        <v>316</v>
      </c>
      <c r="IZ1" s="20" t="s">
        <v>317</v>
      </c>
      <c r="JA1" s="17" t="s">
        <v>357</v>
      </c>
      <c r="JB1" s="17" t="s">
        <v>318</v>
      </c>
      <c r="JC1" s="17" t="s">
        <v>319</v>
      </c>
      <c r="JD1" s="17" t="s">
        <v>320</v>
      </c>
      <c r="JE1" s="17" t="s">
        <v>321</v>
      </c>
      <c r="JF1" s="17" t="s">
        <v>322</v>
      </c>
      <c r="JG1" s="17" t="s">
        <v>323</v>
      </c>
      <c r="JH1" s="17" t="s">
        <v>324</v>
      </c>
    </row>
    <row r="2" spans="1:272" s="177" customFormat="1" ht="15.75" thickTop="1" x14ac:dyDescent="0.25">
      <c r="A2" s="177" t="str">
        <f>IF(nomemp1="","",codiexp1)</f>
        <v/>
      </c>
      <c r="B2" s="177" t="str">
        <f>UPPER(IF(nomemp1=" ", " ",nomemp1))</f>
        <v/>
      </c>
      <c r="C2" s="177" t="str">
        <f>UPPER(IF(nif_1= " ", " ", nif_1))</f>
        <v/>
      </c>
      <c r="D2" s="177" t="str">
        <f>UPPER(IF(codiparticipant00="","",codiparticipant00))</f>
        <v>-00</v>
      </c>
      <c r="E2" s="177" t="str">
        <f>IF(nomemp1="", "",IF(ajudes1_2016="", "",ajudes1_2016))</f>
        <v/>
      </c>
      <c r="F2" s="177" t="str">
        <f>IF(nomemp1="", "",IF(ajudes2017="", "",ajudes2017))</f>
        <v/>
      </c>
      <c r="G2" s="177" t="str">
        <f>IF(nomemp1="", "",IF(ajudes2018="", "",ajudes2018))</f>
        <v/>
      </c>
      <c r="H2" s="177" t="str">
        <f>IF(nomemp1="", "",IF(ajudes2019="", "",ajudes2019))</f>
        <v/>
      </c>
      <c r="I2" s="177" t="str">
        <f>IF(nomemp1="", "",IF(ajudes2020="", "",ajudes2020))</f>
        <v/>
      </c>
      <c r="J2" s="177" t="str">
        <f>IF(nomemp1="", "",IF(ajudes2021="", "",ajudes2021))</f>
        <v/>
      </c>
      <c r="K2" s="177" t="str">
        <f>IF(nomemp1="", "",IF(ajudes2022="", "",ajudes2022))</f>
        <v/>
      </c>
      <c r="L2" s="177" t="str">
        <f>IF(nomemp1="", "",IF(ajudes2023="", "",ajudes2023))</f>
        <v/>
      </c>
      <c r="M2" s="177" t="str">
        <f>IF(nomemp1= " ", " ", IF(subvencions1_2016="","",subvencions1_2016))</f>
        <v/>
      </c>
      <c r="N2" s="177" t="str">
        <f>IF(nomemp1= " ", " ", IF(subvencions2017="","",subvencions2017))</f>
        <v/>
      </c>
      <c r="O2" s="177" t="str">
        <f>IF(nomemp1= " ", " ", IF(subvencions2018="","",subvencions2018))</f>
        <v/>
      </c>
      <c r="P2" s="177" t="str">
        <f>IF(nomemp1= " ", " ", IF(subvencions2019="","",subvencions2019))</f>
        <v/>
      </c>
      <c r="Q2" s="177" t="str">
        <f>IF(nomemp1= " ", " ", IF(subvencions2020="","",subvencions2020))</f>
        <v/>
      </c>
      <c r="R2" s="177" t="str">
        <f>IF(nomemp1= " ", " ", IF(subvencions2021="","",subvencions2021))</f>
        <v/>
      </c>
      <c r="S2" s="177" t="str">
        <f>IF(nomemp1= " ", " ", IF(subvencions2022="","",subvencions2022))</f>
        <v/>
      </c>
      <c r="T2" s="177" t="str">
        <f>IF(nomemp1= " ", " ", IF(subvencions2023="","",subvencions2023))</f>
        <v/>
      </c>
      <c r="U2" s="177" t="str">
        <f>IF(nomemp1= " ", "",IF(iprivadaipublica1_2016="","",iprivadaipublica1_2016))</f>
        <v/>
      </c>
      <c r="V2" s="177" t="str">
        <f>IF(nomemp1= " ", "",IF(iprivadaipublica2017="","",iprivadaipublica2017))</f>
        <v/>
      </c>
      <c r="W2" s="177" t="str">
        <f>IF(nomemp1= " ", "",IF(iprivadaipublica2018="","",iprivadaipublica2018))</f>
        <v/>
      </c>
      <c r="X2" s="177" t="str">
        <f>IF(nomemp1= " ", "",IF(iprivadaipublica2019="","",iprivadaipublica2019))</f>
        <v/>
      </c>
      <c r="Y2" s="177" t="str">
        <f>IF(nomemp1= " ", "",IF(iprivadaipublica2020="","",iprivadaipublica2020))</f>
        <v/>
      </c>
      <c r="Z2" s="177" t="str">
        <f>IF(nomemp1= " ", "",IF(iprivadaipublica2021="","",iprivadaipublica2021))</f>
        <v/>
      </c>
      <c r="AA2" s="177" t="str">
        <f>IF(nomemp1= " ", "",IF(iprivadaipublica2022="","",iprivadaipublica2022))</f>
        <v/>
      </c>
      <c r="AB2" s="177" t="str">
        <f>IF(nomemp1= " ", "",IF(iprivadaipublica2023="","",iprivadaipublica2023))</f>
        <v/>
      </c>
      <c r="AC2" s="177" t="str">
        <f>IF(nomemp1="","",IF(copera1_2016="","",copera1_2016))</f>
        <v/>
      </c>
      <c r="AD2" s="177" t="str">
        <f>IF(nomemp1="","",IF(copera2017="","",copera2017))</f>
        <v/>
      </c>
      <c r="AE2" s="177" t="str">
        <f>IF(nomemp1="","",IF(copera2018="","",copera2018))</f>
        <v/>
      </c>
      <c r="AF2" s="177" t="str">
        <f>IF(nomemp1="","",IF(copera2019="","",copera2019))</f>
        <v/>
      </c>
      <c r="AG2" s="177" t="str">
        <f>IF(nomemp1="","",IF(copera2020="","",copera2020))</f>
        <v/>
      </c>
      <c r="AH2" s="177" t="str">
        <f>IF(nomemp1="","",IF(copera2021="","",copera2021))</f>
        <v/>
      </c>
      <c r="AI2" s="177" t="str">
        <f>IF(nomemp1="","",IF(copera2022="","",copera2022))</f>
        <v/>
      </c>
      <c r="AJ2" s="177" t="str">
        <f>IF(nomemp1="","",IF(copera2023="","",copera2023))</f>
        <v/>
      </c>
      <c r="AK2" s="177" t="str">
        <f>IF(nomemp1="","",IF(investigadorshomes1_2016="","",investigadorshomes1_2016))</f>
        <v/>
      </c>
      <c r="AL2" s="177" t="str">
        <f>IF(nomemp1="","",IF(investigadorshomes2017="","",investigadorshomes2017))</f>
        <v/>
      </c>
      <c r="AM2" s="177" t="str">
        <f>IF(nomemp1="","",IF(investigadorshomes2018="","",investigadorshomes2018))</f>
        <v/>
      </c>
      <c r="AN2" s="177" t="str">
        <f>IF(nomemp1="","",IF(investigadorshomes2019="","",investigadorshomes2019))</f>
        <v/>
      </c>
      <c r="AO2" s="177" t="str">
        <f>IF(nomemp1="","",IF(investigadorshomes2020="","",investigadorshomes2020))</f>
        <v/>
      </c>
      <c r="AP2" s="177" t="str">
        <f>IF(nomemp1="","",IF(investigadorshomes2021="","",investigadorshomes2021))</f>
        <v/>
      </c>
      <c r="AQ2" s="177" t="str">
        <f>IF(nomemp1="","",IF(investigadorshomes2022="","",investigadorshomes2022))</f>
        <v/>
      </c>
      <c r="AR2" s="177" t="str">
        <f>IF(nomemp1="","",IF(investigadorshomes2023="","",investigadorshomes2023))</f>
        <v/>
      </c>
      <c r="AS2" s="177" t="str">
        <f>IF(nomemp1="","",IF(investigadorsdones1_2016= "","",investigadorsdones1_2016))</f>
        <v/>
      </c>
      <c r="AT2" s="177" t="str">
        <f>IF(nomemp1="","",IF(investigadorsdones2017= "","",investigadorsdones2017))</f>
        <v/>
      </c>
      <c r="AU2" s="177" t="str">
        <f>IF(nomemp1="","",IF(investigadorsdones2018= "","",investigadorsdones2018))</f>
        <v/>
      </c>
      <c r="AV2" s="177" t="str">
        <f>IF(nomemp1="","",IF(investigadorsdones2019= "","",investigadorsdones2019))</f>
        <v/>
      </c>
      <c r="AW2" s="177" t="str">
        <f>IF(nomemp1="","",IF(investigadorsdones2020= "","",investigadorsdones2020))</f>
        <v/>
      </c>
      <c r="AX2" s="177" t="str">
        <f>IF(nomemp1="","",IF(investigadorsdones2021= "","",investigadorsdones2021))</f>
        <v/>
      </c>
      <c r="AY2" s="177" t="str">
        <f>IF(nomemp1="","",IF(investigadorsdones2022= "","",investigadorsdones2022))</f>
        <v/>
      </c>
      <c r="AZ2" s="177" t="str">
        <f>IF(nomemp1="","",IF(investigadorsdones2023= "","",investigadorsdones2023))</f>
        <v/>
      </c>
      <c r="BA2" s="288" t="str">
        <f>IF(nomemp1=" ", " ",IF(investigadorstotal1_2016="","",investigadorstotal1_2016))</f>
        <v/>
      </c>
      <c r="BB2" s="177" t="str">
        <f>IF(nomemp1=" ", " ",IF(investigadorstotal2017="","",investigadorstotal2017))</f>
        <v/>
      </c>
      <c r="BC2" s="177" t="str">
        <f>IF(nomemp1=" ", " ",IF(investigadorstotal2018="","",investigadorstotal2018))</f>
        <v/>
      </c>
      <c r="BD2" s="177" t="str">
        <f>IF(nomemp1=" ", " ",IF(investigadorstotal2019="","",investigadorstotal2019))</f>
        <v/>
      </c>
      <c r="BE2" s="177" t="str">
        <f>IF(nomemp1=" ", " ",IF(investigadorstotal2020="","",investigadorstotal2020))</f>
        <v/>
      </c>
      <c r="BF2" s="177" t="str">
        <f>IF(nomemp1=" ", " ",IF(investigadorstotal2021="","",investigadorstotal2021))</f>
        <v/>
      </c>
      <c r="BG2" s="177" t="str">
        <f>IF(nomemp1=" ", " ",IF(investigadorstotal2022="","",investigadorstotal2022))</f>
        <v/>
      </c>
      <c r="BH2" s="177" t="str">
        <f>IF(nomemp1=" ", " ",IF(investigadorstotal2023="","",investigadorstotal2023))</f>
        <v/>
      </c>
      <c r="BI2" s="177" t="str">
        <f>IF(nomemp1=" ", " ",IF(certificacio1_2016="","",certificacio1_2016))</f>
        <v/>
      </c>
      <c r="BJ2" s="177" t="str">
        <f>IF(nomemp1=" ", " ",IF(certificacio2017="","",certificacio2017))</f>
        <v/>
      </c>
      <c r="BK2" s="177" t="str">
        <f>IF(nomemp1=" ", " ",IF(certificacio2018="","",certificacio2018))</f>
        <v/>
      </c>
      <c r="BL2" s="177" t="str">
        <f>IF(nomemp1=" "," ",IF(certificacio2019="","",certificacio2019))</f>
        <v/>
      </c>
      <c r="BM2" s="177" t="str">
        <f>IF(nomemp1=" ", " ",IF(certificacio2020="","",certificacio2020))</f>
        <v/>
      </c>
      <c r="BN2" s="177" t="str">
        <f>IF(nomemp1=" ", " ",IF(certificacio2021="","",certificacio2021))</f>
        <v/>
      </c>
      <c r="BO2" s="177" t="str">
        <f>IF(nomemp1=" ", " ",IF(certificacio2022="","",certificacio2022))</f>
        <v/>
      </c>
      <c r="BP2" s="177" t="str">
        <f>IF(nomemp1=" ", " ",IF(certificacio2023="","",certificacio2023))</f>
        <v/>
      </c>
      <c r="BQ2" s="177" t="str">
        <f>IF(nomemp1="","",IF(ipublica1_2016="","",ipublica1_2016))</f>
        <v/>
      </c>
      <c r="BR2" s="177" t="str">
        <f>IF(nomemp1="","",IF(ipublica2017="","",ipublica2017))</f>
        <v/>
      </c>
      <c r="BS2" s="177" t="str">
        <f>IF(nomemp1="","",IF(ipublica2018="","",ipublica2018))</f>
        <v/>
      </c>
      <c r="BT2" s="177" t="str">
        <f>IF(nomemp1="","",IF(ipublica2019="","",ipublica2019))</f>
        <v/>
      </c>
      <c r="BU2" s="177" t="str">
        <f>IF(nomemp1="","",IF(ipublica2020="","",ipublica2020))</f>
        <v/>
      </c>
      <c r="BV2" s="177" t="str">
        <f>IF(nomemp1="","",IF(ipublica2021="","",ipublica2021))</f>
        <v/>
      </c>
      <c r="BW2" s="177" t="str">
        <f>IF(nomemp1="","",IF(ipublica2022="","",ipublica2022))</f>
        <v/>
      </c>
      <c r="BX2" s="177" t="str">
        <f>IF(nomemp1="","",IF(ipublica2023="","",ipublica2023))</f>
        <v/>
      </c>
      <c r="BY2" s="177" t="str">
        <f>IF(nomemp1="","",IF(iprivada1_2016="","",iprivada1_2016))</f>
        <v/>
      </c>
      <c r="BZ2" s="177" t="str">
        <f>IF(nomemp1="","",IF(iprivada2017="","",iprivada2017))</f>
        <v/>
      </c>
      <c r="CA2" s="177" t="str">
        <f>IF(nomemp1="","",IF(iprivada2018="","",iprivada2018))</f>
        <v/>
      </c>
      <c r="CB2" s="177" t="str">
        <f>IF(nomemp1="","",IF(iprivada2019="","",iprivada2019))</f>
        <v/>
      </c>
      <c r="CC2" s="177" t="str">
        <f>IF(nomemp1="","",IF(iprivada2020="","",iprivada2020))</f>
        <v/>
      </c>
      <c r="CD2" s="177" t="str">
        <f>IF(nomemp1="","",IF(iprivada2021="","",iprivada2021))</f>
        <v/>
      </c>
      <c r="CE2" s="177" t="str">
        <f>IF(nomemp1="","",IF(iprivada2022="","",iprivada2022))</f>
        <v/>
      </c>
      <c r="CF2" s="177" t="str">
        <f>IF(nomemp1="","",IF(iprivada2023="","",iprivada2023))</f>
        <v/>
      </c>
      <c r="CG2" s="177" t="str">
        <f>IF(nomemp1="","",IF(investigadorstotalprojecte1_2016="","",investigadorstotalprojecte1_2016))</f>
        <v/>
      </c>
      <c r="CH2" s="177" t="str">
        <f>IF(nomemp1="","",IF(investigadorstotalprojecte2017="","",investigadorstotalprojecte2017))</f>
        <v/>
      </c>
      <c r="CI2" s="177" t="str">
        <f>IF(nomemp1="","",IF(investigadorstotalprojecte2018="","",investigadorstotalprojecte2018))</f>
        <v/>
      </c>
      <c r="CJ2" s="177" t="str">
        <f>IF(nomemp1="","",IF(investigadorstotalprojecte2019="","",investigadorstotalprojecte2019))</f>
        <v/>
      </c>
      <c r="CK2" s="177" t="str">
        <f>IF(nomemp1="","",IF(investigadorstotalprojecte2020="","",investigadorstotalprojecte2020))</f>
        <v/>
      </c>
      <c r="CL2" s="177" t="str">
        <f>IF(nomemp1="","",IF(investigadorstotalprojecte2021="","",investigadorstotalprojecte2021))</f>
        <v/>
      </c>
      <c r="CM2" s="177" t="str">
        <f>IF(nomemp1="","",IF(investigadorstotalprojecte2022="","",investigadorstotalprojecte2022))</f>
        <v/>
      </c>
      <c r="CN2" s="177" t="str">
        <f>IF(nomemp1="","",IF(investigadorstotalprojecte2023="","",investigadorstotalprojecte2023))</f>
        <v/>
      </c>
      <c r="CO2" s="177" t="str">
        <f>IF(nomemp1="","",IF(investigadorshomesprojecte1_2016="","",investigadorshomesprojecte1_2016))</f>
        <v/>
      </c>
      <c r="CP2" s="177" t="str">
        <f>IF(nomemp1="","",IF(investigadorshomesprojecte2017="","",investigadorshomesprojecte2017))</f>
        <v/>
      </c>
      <c r="CQ2" s="177" t="str">
        <f>IF(nomemp1="","",IF(investigadorshomesprojecte2018="","",investigadorshomesprojecte2018))</f>
        <v/>
      </c>
      <c r="CR2" s="177" t="str">
        <f>IF(nomemp1="","",IF(investigadorshomesprojecte2019="","",investigadorshomesprojecte2019))</f>
        <v/>
      </c>
      <c r="CS2" s="177" t="str">
        <f>IF(nomemp1="","",IF(investigadorshomesprojecte2020="","",investigadorshomesprojecte2020))</f>
        <v/>
      </c>
      <c r="CT2" s="177" t="str">
        <f>IF(nomemp1="","",IF(investigadorshomesprojecte2021="","",investigadorshomesprojecte2021))</f>
        <v/>
      </c>
      <c r="CU2" s="177" t="str">
        <f>IF(nomemp1="","",IF(investigadorshomesprojecte2022="","",investigadorshomesprojecte2022))</f>
        <v/>
      </c>
      <c r="CV2" s="177" t="str">
        <f>IF(nomemp1="","",IF(investigadorshomesprojecte2023="","",investigadorshomesprojecte2023))</f>
        <v/>
      </c>
      <c r="CW2" s="177" t="str">
        <f>IF(nomemp1="","",IF(investigadorsprojectedones1_2016="","",investigadorsprojectedones1_2016))</f>
        <v/>
      </c>
      <c r="CX2" s="177" t="str">
        <f>IF(nomemp1="","",IF(investigadorsdonesprojecte2017="","",investigadorsdonesprojecte2017))</f>
        <v/>
      </c>
      <c r="CY2" s="177" t="str">
        <f>IF(nomemp1="","",IF(investigadorsdonesprojecte2018="","",investigadorsdonesprojecte2018))</f>
        <v/>
      </c>
      <c r="CZ2" s="177" t="str">
        <f>IF(nomemp1="","",IF(investigadorsdonesprojecte2019="","",investigadorsdonesprojecte2019))</f>
        <v/>
      </c>
      <c r="DA2" s="177" t="str">
        <f>IF(nomemp1="","",IF(investigadorsdonesprojecte2020="","",investigadorsdonesprojecte2020))</f>
        <v/>
      </c>
      <c r="DB2" s="177" t="str">
        <f>IF(nomemp1="","",IF(investigadorsdonesprojecte2021="","",investigadorsdonesprojecte2021))</f>
        <v/>
      </c>
      <c r="DC2" s="177" t="str">
        <f>IF(nomemp1="","",IF(investigadorsdonesprojecte2022="","",investigadorsdonesprojecte2022))</f>
        <v/>
      </c>
      <c r="DD2" s="177" t="str">
        <f>IF(nomemp1="","",IF(investigadorsdonesprojecte2023="","",investigadorsdonesprojecte2023))</f>
        <v/>
      </c>
      <c r="DE2" s="177" t="str">
        <f>IF(nomemp1="","",IF(empresesprivades1_2016="","",empresesprivades1_2016))</f>
        <v/>
      </c>
      <c r="DF2" s="177" t="str">
        <f>IF(nomemp1="","",IF(empresesprivades2017="","",empresesprivades2017))</f>
        <v/>
      </c>
      <c r="DG2" s="177" t="str">
        <f>IF(nomemp1="","",IF(empresesprivades2018="","",empresesprivades2018))</f>
        <v/>
      </c>
      <c r="DH2" s="177" t="str">
        <f>IF(nomemp1="","",IF(empresesprivades2019="","",empresesprivades2019))</f>
        <v/>
      </c>
      <c r="DI2" s="177" t="str">
        <f>IF(nomemp1="","",IF(empresesprivades2020="","",empresesprivades2020))</f>
        <v/>
      </c>
      <c r="DJ2" s="177" t="str">
        <f>IF(nomemp1="","",IF(empresesprivades2021="","",empresesprivades2021))</f>
        <v/>
      </c>
      <c r="DK2" s="177" t="str">
        <f>IF(nomemp1="","",IF(empresesprivades2022="","",empresesprivades2022))</f>
        <v/>
      </c>
      <c r="DL2" s="177" t="str">
        <f>IF(nomemp1="","",IF(empresesprivades2023="","",empresesprivades2023))</f>
        <v/>
      </c>
      <c r="DM2" s="177" t="str">
        <f>IF(nomemp1="","",IF(empresespubliques1_2016="","",empresespubliques1_2016))</f>
        <v/>
      </c>
      <c r="DN2" s="177" t="str">
        <f>IF(nomemp1="","",IF(empresespubliques2017="","",empresespubliques2017))</f>
        <v/>
      </c>
      <c r="DO2" s="177" t="str">
        <f>IF(nomemp1="","",IF(empresespubliques2018="","",empresespubliques2018))</f>
        <v/>
      </c>
      <c r="DP2" s="177" t="str">
        <f>IF(nomemp1="","",IF(empresespubliques2019="","",empresespubliques2019))</f>
        <v/>
      </c>
      <c r="DQ2" s="177" t="str">
        <f>IF(nomemp1="","",IF(empresespubliques2020="","",empresespubliques2020))</f>
        <v/>
      </c>
      <c r="DR2" s="177" t="str">
        <f>IF(nomemp1="","",IF(empresespubliques2021="","",empresespubliques2021))</f>
        <v/>
      </c>
      <c r="DS2" s="177" t="str">
        <f>IF(nomemp1="","",IF(empresespubliques2022="","",empresespubliques2022))</f>
        <v/>
      </c>
      <c r="DT2" s="177" t="str">
        <f>IF(nomemp1="","",IF(empresespubliques2023="","",empresespubliques2023))</f>
        <v/>
      </c>
      <c r="DU2" s="177" t="str">
        <f>IF(nomemp1="","",IF(centrestecnologics1_2016="","",centrestecnologics1_2016))</f>
        <v/>
      </c>
      <c r="DV2" s="177" t="str">
        <f>IF(nomemp1="","",IF(centrestecnologics2017="","",centrestecnologics2017))</f>
        <v/>
      </c>
      <c r="DW2" s="177" t="str">
        <f>IF(nomemp1="","",IF(centrestecnologics2018="","",centrestecnologics2018))</f>
        <v/>
      </c>
      <c r="DX2" s="177" t="str">
        <f>IF(nomemp1="","",IF(centrestecnologics2019="","",centrestecnologics2019))</f>
        <v/>
      </c>
      <c r="DY2" s="177" t="str">
        <f>IF(nomemp1="","",IF(centrestecnologics2020="","",centrestecnologics2020))</f>
        <v/>
      </c>
      <c r="DZ2" s="177" t="str">
        <f>IF(nomemp1="","",IF(centrestecnologics2021="","",centrestecnologics2021))</f>
        <v/>
      </c>
      <c r="EA2" s="177" t="str">
        <f>IF(nomemp1="","",IF(centrestecnologics2022="","",centrestecnologics2022))</f>
        <v/>
      </c>
      <c r="EB2" s="177" t="str">
        <f>IF(nomemp1="","",IF(centrestecnologics2023="","",centrestecnologics2023))</f>
        <v/>
      </c>
      <c r="EC2" s="177" t="str">
        <f>IF(nomemp1="","",IF(universitats1_2016="","",universitats1_2016))</f>
        <v/>
      </c>
      <c r="ED2" s="177" t="str">
        <f>IF(nomemp1="","",IF(universitats2017="","",universitats2017))</f>
        <v/>
      </c>
      <c r="EE2" s="177" t="str">
        <f>IF(nomemp1="","",IF(universitats2018="","",universitats2018))</f>
        <v/>
      </c>
      <c r="EF2" s="177" t="str">
        <f>IF(nomemp1="","",IF(universitats2019="","",universitats2019))</f>
        <v/>
      </c>
      <c r="EG2" s="177" t="str">
        <f>IF(nomemp1="","",IF(universitats2020="","",universitats2020))</f>
        <v/>
      </c>
      <c r="EH2" s="177" t="str">
        <f>IF(nomemp1="","",IF(universitats2021="","",universitats2021))</f>
        <v/>
      </c>
      <c r="EI2" s="177" t="str">
        <f>IF(nomemp1="","",IF(universitats2022="","",universitats2022))</f>
        <v/>
      </c>
      <c r="EJ2" s="177" t="str">
        <f>IF(nomemp1="","",IF(universitats2023="","",universitats2023))</f>
        <v/>
      </c>
      <c r="EK2" s="177" t="str">
        <f>IF(nomemp1="","",IF(centresderecerca1_2016="","",centresderecerca1_2016))</f>
        <v/>
      </c>
      <c r="EL2" s="177" t="str">
        <f>IF(nomemp1="","",IF(centresrecerca2017="","",centresrecerca2017))</f>
        <v/>
      </c>
      <c r="EM2" s="177" t="str">
        <f>IF(nomemp1="","",IF(centresrecerca2018="","",centresrecerca2018))</f>
        <v/>
      </c>
      <c r="EN2" s="177" t="str">
        <f>IF(nomemp1="","",IF(centresrecerca2019="","",centresrecerca2019))</f>
        <v/>
      </c>
      <c r="EO2" s="177" t="str">
        <f>IF(nomemp1="","",IF(centresrecerca2020="","",centresrecerca2020))</f>
        <v/>
      </c>
      <c r="EP2" s="177" t="str">
        <f>IF(nomemp1="","",IF(centresrecerca2021="","",centresrecerca2021))</f>
        <v/>
      </c>
      <c r="EQ2" s="177" t="str">
        <f>IF(nomemp1="","",IF(centresrecerca2022="","",centresrecerca2022))</f>
        <v/>
      </c>
      <c r="ER2" s="177" t="str">
        <f>IF(nomemp1="","",IF(centresrecerca2023="","",centresrecerca2023))</f>
        <v/>
      </c>
      <c r="ES2" s="177" t="str">
        <f>IF(nomemp1="","",IF(infraestructures1_2016="","",infraestructures1_2016))</f>
        <v/>
      </c>
      <c r="ET2" s="177" t="str">
        <f>IF(nomemp1="","",IF(infraestructures2017="","",infraestructures2017))</f>
        <v/>
      </c>
      <c r="EU2" s="177" t="str">
        <f>IF(nomemp1="","",IF(infraestructures2018="","",infraestructures2018))</f>
        <v/>
      </c>
      <c r="EV2" s="177" t="str">
        <f>IF(nomemp1="","",IF(infraestructures2019="","",infraestructures2019))</f>
        <v/>
      </c>
      <c r="EW2" s="177" t="str">
        <f>IF(nomemp1="","",IF(infraestructures2020="","",infraestructures2020))</f>
        <v/>
      </c>
      <c r="EX2" s="177" t="str">
        <f>IF(nomemp1="","",IF(infraestructures2021="","",infraestructures2021))</f>
        <v/>
      </c>
      <c r="EY2" s="177" t="str">
        <f>IF(nomemp1="","",IF(infraestructures2022="","",infraestructures2022))</f>
        <v/>
      </c>
      <c r="EZ2" s="177" t="str">
        <f>IF(nomemp1="","",IF(infraestructures2023="","",infraestructures2023))</f>
        <v/>
      </c>
      <c r="FA2" s="177" t="str">
        <f>IF(nomemp1="","",IF(spinoff1_2016="","",spinoff1_2016))</f>
        <v/>
      </c>
      <c r="FB2" s="177" t="str">
        <f>IF(nomemp1="","",IF(spinoff2017="","",spinoff2017))</f>
        <v/>
      </c>
      <c r="FC2" s="177" t="str">
        <f>IF(nomemp1="","",IF(spinoff2018="","",spinoff2018))</f>
        <v/>
      </c>
      <c r="FD2" s="177" t="str">
        <f>IF(nomemp1="","",IF(spinoff2019="","",spinoff2019))</f>
        <v/>
      </c>
      <c r="FE2" s="177" t="str">
        <f>IF(nomemp1="","",IF(spinoff2020="","",spinoff2020))</f>
        <v/>
      </c>
      <c r="FF2" s="177" t="str">
        <f>IF(nomemp1="","",IF(spinoff2021="","",spinoff2021))</f>
        <v/>
      </c>
      <c r="FG2" s="177" t="str">
        <f>IF(nomemp1="","",IF(spinoff2022="","",spinoff2022))</f>
        <v/>
      </c>
      <c r="FH2" s="177" t="str">
        <f>IF(nomemp1="","",IF(spinoff2023="","",spinoff2023))</f>
        <v/>
      </c>
      <c r="FI2" s="177" t="str">
        <f>IF(nomemp1="","",IF(patents1_2016="","",patents1_2016))</f>
        <v/>
      </c>
      <c r="FJ2" s="177" t="str">
        <f>IF(nomemp1="","",IF(patents2017="","",patents2017))</f>
        <v/>
      </c>
      <c r="FK2" s="177" t="str">
        <f>IF(nomemp1="","",IF(patents2018="","",patents2018))</f>
        <v/>
      </c>
      <c r="FL2" s="177" t="str">
        <f>IF(nomemp1="","",IF(patents2019="","",patents2019))</f>
        <v/>
      </c>
      <c r="FM2" s="177" t="str">
        <f>IF(nomemp1="","",IF(patents2020="","",patents2020))</f>
        <v/>
      </c>
      <c r="FN2" s="177" t="str">
        <f>IF(nomemp1="","",IF(patents2021="","",patents2021))</f>
        <v/>
      </c>
      <c r="FO2" s="177" t="str">
        <f>IF(nomemp1="","",IF(patents2022="","",patents2022))</f>
        <v/>
      </c>
      <c r="FP2" s="177" t="str">
        <f>IF(nomemp1="","",IF(patents2023="","",patents2023))</f>
        <v/>
      </c>
      <c r="FQ2" s="177" t="str">
        <f>IF(nomemp1="","",IF(marques1_2016="","",marques1_2016))</f>
        <v/>
      </c>
      <c r="FR2" s="177" t="str">
        <f>IF(nomemp1="","",IF(marques2017="","",marques2017))</f>
        <v/>
      </c>
      <c r="FS2" s="177" t="str">
        <f>IF(nomemp1="","",IF(marques2018="","",marques2018))</f>
        <v/>
      </c>
      <c r="FT2" s="177" t="str">
        <f>IF(nomemp1="","",IF(marques2019="","",marques2019))</f>
        <v/>
      </c>
      <c r="FU2" s="177" t="str">
        <f>IF(nomemp1="","",IF(marques2020="","",marques2020))</f>
        <v/>
      </c>
      <c r="FV2" s="177" t="str">
        <f>IF(nomemp1="","",IF(marques2021="","",marques2021))</f>
        <v/>
      </c>
      <c r="FW2" s="177" t="str">
        <f>IF(nomemp1="","",IF(marques2022="","",marques2022))</f>
        <v/>
      </c>
      <c r="FX2" s="177" t="str">
        <f>IF(nomemp1="","",IF(marques2023="","",marques2023))</f>
        <v/>
      </c>
      <c r="FY2" s="177" t="str">
        <f>IF(nomemp1="","",IF(innoven1_2016="","",innoven1_2016))</f>
        <v/>
      </c>
      <c r="FZ2" s="177" t="str">
        <f>IF(nomemp1="","",IF(innoven2017="","",innoven2017))</f>
        <v/>
      </c>
      <c r="GA2" s="177" t="str">
        <f>IF(nomemp1="","",IF(innoven2018="","",innoven2018))</f>
        <v/>
      </c>
      <c r="GB2" s="177" t="str">
        <f>IF(nomemp1="","",IF(innoven2019="","",innoven2019))</f>
        <v/>
      </c>
      <c r="GC2" s="177" t="str">
        <f>IF(nomemp1="","",IF(innoven2020="","",innoven2020))</f>
        <v/>
      </c>
      <c r="GD2" s="177" t="str">
        <f>IF(nomemp1="","",IF(innoven2021="","",innoven2021))</f>
        <v/>
      </c>
      <c r="GE2" s="177" t="str">
        <f>IF(nomemp1="","",IF(innoven2022="","",innoven2022))</f>
        <v/>
      </c>
      <c r="GF2" s="177" t="str">
        <f>IF(nomemp1="","",IF(innoven2023="","",innoven2023))</f>
        <v/>
      </c>
      <c r="GG2" s="177" t="str">
        <f>IF(nomemp1="","",IF(llocsdetreball1_2016="","",llocsdetreball1_2016))</f>
        <v/>
      </c>
      <c r="GH2" s="177" t="str">
        <f>IF(nomemp1="","",IF(llocsdetreball2017="","",llocsdetreball2017))</f>
        <v/>
      </c>
      <c r="GI2" s="177" t="str">
        <f>IF(nomemp1="","",IF(llocsdetreball2018="","",llocsdetreball2018))</f>
        <v/>
      </c>
      <c r="GJ2" s="177" t="str">
        <f>IF(nomemp1="","",IF(llocsdetreball2019="","",llocsdetreball2019))</f>
        <v/>
      </c>
      <c r="GK2" s="177" t="str">
        <f>IF(nomemp1="","",IF(llocsdetreball2020="","",llocsdetreball2020))</f>
        <v/>
      </c>
      <c r="GL2" s="177" t="str">
        <f>IF(nomemp1="","",IF(llocsdetreball2021="","",llocsdetreball2021))</f>
        <v/>
      </c>
      <c r="GM2" s="177" t="str">
        <f>IF(nomemp1="","",IF(llocsdetreball2022="","",llocsdetreball2022))</f>
        <v/>
      </c>
      <c r="GN2" s="177" t="str">
        <f>IF(nomemp1="","",IF(llocsdetreball2023="","",llocsdetreball2023))</f>
        <v/>
      </c>
      <c r="GO2" s="177" t="str">
        <f>IF(nomemp1="","",IF(formacio1_2016="","",formacio1_2016))</f>
        <v/>
      </c>
      <c r="GP2" s="177" t="str">
        <f>IF(nomemp1="","",IF(formacio2017="","",formacio2017))</f>
        <v/>
      </c>
      <c r="GQ2" s="177" t="str">
        <f>IF(nomemp1="","",IF(formacio2018="","",formacio2018))</f>
        <v/>
      </c>
      <c r="GR2" s="177" t="str">
        <f>IF(nomemp1="","",IF(formacio2019="","",formacio2019))</f>
        <v/>
      </c>
      <c r="GS2" s="177" t="str">
        <f>IF(nomemp1="","",IF(formacio2020="","",formacio2020))</f>
        <v/>
      </c>
      <c r="GT2" s="177" t="str">
        <f>IF(nomemp1="","",IF(formacio2021="","",formacio2021))</f>
        <v/>
      </c>
      <c r="GU2" s="177" t="str">
        <f>IF(nomemp1="","",IF(formacio2022="","",formacio2022))</f>
        <v/>
      </c>
      <c r="GV2" s="177" t="str">
        <f>IF(nomemp1="","",IF(formacio2023="","",formacio2023))</f>
        <v/>
      </c>
      <c r="GW2" s="177" t="str">
        <f>IF(nomemp1="","",IF(ingressos1_2016="","",ingressos1_2016))</f>
        <v/>
      </c>
      <c r="GX2" s="177" t="str">
        <f>IF(nomemp1="","",IF(ingressos2017="","",ingressos2017))</f>
        <v/>
      </c>
      <c r="GY2" s="177" t="str">
        <f>IF(nomemp1="","",IF(ingressos2018="","",ingressos2018))</f>
        <v/>
      </c>
      <c r="GZ2" s="177" t="str">
        <f>IF(nomemp1="","",IF(ingressos2019="","",ingressos2019))</f>
        <v/>
      </c>
      <c r="HA2" s="177" t="str">
        <f>IF(nomemp1="","",IF(ingressos2020="","",ingressos2020))</f>
        <v/>
      </c>
      <c r="HB2" s="177" t="str">
        <f>IF(nomemp1="","",IF(ingressos2021="","",ingressos2021))</f>
        <v/>
      </c>
      <c r="HC2" s="177" t="str">
        <f>IF(nomemp1="","",IF(ingressos2022="","",ingressos2022))</f>
        <v/>
      </c>
      <c r="HD2" s="177" t="str">
        <f>IF(nomemp1="","",IF(ingressos2023="","",ingressos2023))</f>
        <v/>
      </c>
      <c r="HE2" s="177" t="str">
        <f>IF(nomemp1="","",IF(exportacions1_2016="","",exportacions1_2016))</f>
        <v/>
      </c>
      <c r="HF2" s="177" t="str">
        <f>IF(nomemp1="","",IF(exportacions2017="","",exportacions2017))</f>
        <v/>
      </c>
      <c r="HG2" s="177" t="str">
        <f>IF(nomemp1="","",IF(exportacions2018="","",exportacions2018))</f>
        <v/>
      </c>
      <c r="HH2" s="177" t="str">
        <f>IF(nomemp1="","",IF(exportacions2019="","",exportacions2019))</f>
        <v/>
      </c>
      <c r="HI2" s="177" t="str">
        <f>IF(nomemp1="","",IF(exportacions2020="","",exportacions2020))</f>
        <v/>
      </c>
      <c r="HJ2" s="177" t="str">
        <f>IF(nomemp1="","",IF(exportacions2021="","",exportacions2021))</f>
        <v/>
      </c>
      <c r="HK2" s="177" t="str">
        <f>IF(nomemp1="","",IF(exportacions2022="","",exportacions2022))</f>
        <v/>
      </c>
      <c r="HL2" s="177" t="str">
        <f>IF(nomemp1="","",IF(exportacions2023="","",exportacions2023))</f>
        <v/>
      </c>
      <c r="HM2" s="177" t="str">
        <f>IF(nomemp1="","",IF(oporunitats1_2016="","",oporunitats1_2016))</f>
        <v/>
      </c>
      <c r="HN2" s="177" t="str">
        <f>IF(nomemp1="","",IF(oportunitats2017="","",oportunitats2017))</f>
        <v/>
      </c>
      <c r="HO2" s="177" t="str">
        <f>IF(nomemp1="","",IF(oportunitats2018="","",oportunitats2018))</f>
        <v/>
      </c>
      <c r="HP2" s="177" t="str">
        <f>IF(nomemp1="","",IF(oportunitats2019="","",oportunitats2019))</f>
        <v/>
      </c>
      <c r="HQ2" s="177" t="str">
        <f>IF(nomemp1="","",IF(oportunitats2020="","",oportunitats2020))</f>
        <v/>
      </c>
      <c r="HR2" s="177" t="str">
        <f>IF(nomemp1="","",IF(oportunitats2021="","",oportunitats2021))</f>
        <v/>
      </c>
      <c r="HS2" s="177" t="str">
        <f>IF(nomemp1="","",IF(oportunitats2022="","",oportunitats2022))</f>
        <v/>
      </c>
      <c r="HT2" s="177" t="str">
        <f>IF(nomemp1="","",IF(oportunitats2023="","",oportunitats2023))</f>
        <v/>
      </c>
      <c r="HU2" s="177" t="str">
        <f>IF(nomemp1="","",IF(productivitat1_2016="","",productivitat1_2016))</f>
        <v/>
      </c>
      <c r="HV2" s="177" t="str">
        <f>IF(nomemp1="","",IF(productivitat2017="","",productivitat2017))</f>
        <v/>
      </c>
      <c r="HW2" s="177" t="str">
        <f>IF(nomemp1="","",IF(productivitat2018="","",productivitat2018))</f>
        <v/>
      </c>
      <c r="HX2" s="177" t="str">
        <f>IF(nomemp1="","",IF(productivitat2019="","",productivitat2019))</f>
        <v/>
      </c>
      <c r="HY2" s="177" t="str">
        <f>IF(nomemp1="","",IF(productivitat2020="","",productivitat2020))</f>
        <v/>
      </c>
      <c r="HZ2" s="177" t="str">
        <f>IF(nomemp1="","",IF(productivitat2021="","",productivitat2021))</f>
        <v/>
      </c>
      <c r="IA2" s="177" t="str">
        <f>IF(nomemp1="","",IF(productivitat2022="","",productivitat2022))</f>
        <v/>
      </c>
      <c r="IB2" s="177" t="str">
        <f>IF(nomemp1="","",IF(productivitat2023="","",productivitat2023))</f>
        <v/>
      </c>
      <c r="IC2" s="177" t="str">
        <f>IF(nomemp1="","",IF(aigua1_2016="","",aigua1_2016))</f>
        <v/>
      </c>
      <c r="ID2" s="177" t="str">
        <f>IF(nomemp1="","",IF(aigua2017="","",aigua2017))</f>
        <v/>
      </c>
      <c r="IE2" s="177" t="str">
        <f>IF(nomemp1="","",IF(aigua2018="","",aigua2018))</f>
        <v/>
      </c>
      <c r="IF2" s="177" t="str">
        <f>IF(nomemp1="","",IF(aigua2019="","",aigua2019))</f>
        <v/>
      </c>
      <c r="IG2" s="177" t="str">
        <f>IF(nomemp1="","",IF(aigua2020="","",aigua2020))</f>
        <v/>
      </c>
      <c r="IH2" s="177" t="str">
        <f>IF(nomemp1="","",IF(aigua2021="","",aigua2021))</f>
        <v/>
      </c>
      <c r="II2" s="177" t="str">
        <f>IF(nomemp1="","",IF(aigua2022="","",aigua2022))</f>
        <v/>
      </c>
      <c r="IJ2" s="177" t="str">
        <f>IF(nomemp1="","",IF(aigua2023="","",aigua2023))</f>
        <v/>
      </c>
      <c r="IK2" s="177" t="str">
        <f>IF(nomemp1="","",IF(energia1_2016="","",energia1_2016))</f>
        <v/>
      </c>
      <c r="IL2" s="177" t="str">
        <f>IF(nomemp1="","",IF(energia2017="","",energia2017))</f>
        <v/>
      </c>
      <c r="IM2" s="177" t="str">
        <f>IF(nomemp1="","",IF(energia2018="","",energia2018))</f>
        <v/>
      </c>
      <c r="IN2" s="177" t="str">
        <f>IF(nomemp1="","",IF(energia2019="","",energia2019))</f>
        <v/>
      </c>
      <c r="IO2" s="177" t="str">
        <f>IF(nomemp1="","",IF(energia2020="","",energia2020))</f>
        <v/>
      </c>
      <c r="IP2" s="177" t="str">
        <f>IF(nomemp1="","",IF(energia2021="","",energia2021))</f>
        <v/>
      </c>
      <c r="IQ2" s="177" t="str">
        <f>IF(nomemp1="","",IF(energia2022="","",energia2022))</f>
        <v/>
      </c>
      <c r="IR2" s="177" t="str">
        <f>IF(nomemp1="","",IF(energia2023="","",energia2023))</f>
        <v/>
      </c>
      <c r="IS2" s="177" t="str">
        <f>IF(nomemp1="","",IF(emissions1_2016="","",emissions1_2016))</f>
        <v/>
      </c>
      <c r="IT2" s="177" t="str">
        <f>IF(nomemp1="","",IF(emissions2017="","",emissions2017))</f>
        <v/>
      </c>
      <c r="IU2" s="177" t="str">
        <f>IF(nomemp1="","",IF(emissions2018="","",emissions2018))</f>
        <v/>
      </c>
      <c r="IV2" s="177" t="str">
        <f>IF(nomemp1="","",IF(emissions2019="","",emissions2019))</f>
        <v/>
      </c>
      <c r="IW2" s="177" t="str">
        <f>IF(nomemp1="","",IF(emissions2020="","",emissions2020))</f>
        <v/>
      </c>
      <c r="IX2" s="177" t="str">
        <f>IF(nomemp1="","",IF(emissions2021="","",emissions2021))</f>
        <v/>
      </c>
      <c r="IY2" s="177" t="str">
        <f>IF(nomemp1="","",IF(emissions2022="","",emissions2022))</f>
        <v/>
      </c>
      <c r="IZ2" s="177" t="str">
        <f>IF(nomemp1="","",IF(emissions2023="","",emissions2023))</f>
        <v/>
      </c>
      <c r="JA2" s="177" t="str">
        <f>IF(nomemp1="","",IF(residus1_2016="","",residus1_2016))</f>
        <v/>
      </c>
      <c r="JB2" s="177" t="str">
        <f>IF(nomemp1="","",IF(residus2017="","",residus2017))</f>
        <v/>
      </c>
      <c r="JC2" s="177" t="str">
        <f>IF(nomemp1="","",IF(residus2018="","",residus2018))</f>
        <v/>
      </c>
      <c r="JD2" s="177" t="str">
        <f>IF(nomemp1="","",IF(residus2019="","",residus2019))</f>
        <v/>
      </c>
      <c r="JE2" s="177" t="str">
        <f>IF(nomemp1="","",IF(residus2020="","",residus2020))</f>
        <v/>
      </c>
      <c r="JF2" s="177" t="str">
        <f>IF(nomemp1="","",IF(residus2021="","",residus2021))</f>
        <v/>
      </c>
      <c r="JG2" s="177" t="str">
        <f>IF(nomemp1="","",IF(residus2022="","",residus2022))</f>
        <v/>
      </c>
      <c r="JH2" s="177" t="str">
        <f>IF(nomemp1="","",IF(residus2023="","",residus2023))</f>
        <v/>
      </c>
      <c r="JJ2" s="38"/>
      <c r="JK2" s="38"/>
      <c r="JL2" s="38"/>
    </row>
    <row r="3" spans="1:272" s="177" customFormat="1" x14ac:dyDescent="0.25">
      <c r="A3" s="177" t="str">
        <f>IF(nomemp2="","",codiexp1)</f>
        <v/>
      </c>
      <c r="B3" s="177" t="str">
        <f>UPPER(IF(nomemp2=" ", " ",nomemp2))</f>
        <v/>
      </c>
      <c r="C3" s="177" t="str">
        <f>UPPER(IF(nif_2= " ", " ", nif_2))</f>
        <v/>
      </c>
      <c r="D3" s="177" t="str">
        <f>IF(nomemp2="", "",UPPER(IF(codiparticipant1="","",codiparticipant1)))</f>
        <v/>
      </c>
      <c r="E3" s="177" t="str">
        <f>IF(nomemp2="", "",IF(ajudes2016="", "",ajudes2016))</f>
        <v/>
      </c>
      <c r="F3" s="177" t="str">
        <f>IF(nomemp2="", "",IF(ajudes1_2017="", "",ajudes1_2017))</f>
        <v/>
      </c>
      <c r="G3" s="177" t="str">
        <f>IF(nomemp2="", "",IF(ajudes1_2018="", "",ajudes1_2018))</f>
        <v/>
      </c>
      <c r="H3" s="177" t="str">
        <f>IF(nomemp2="", "",IF(ajudes1_2019="", "",ajudes1_2019))</f>
        <v/>
      </c>
      <c r="I3" s="177" t="str">
        <f>IF(nomemp2="", "",IF(ajudes1_2020="", "",ajudes1_2020))</f>
        <v/>
      </c>
      <c r="J3" s="177" t="str">
        <f>IF(nomemp2="", "",IF(ajudes1_2021="", "",ajudes1_2021))</f>
        <v/>
      </c>
      <c r="K3" s="177" t="str">
        <f>IF(nomemp2="", "",IF(ajudes1_2022="", "",ajudes1_2022))</f>
        <v/>
      </c>
      <c r="L3" s="177" t="str">
        <f>IF(nomemp2="", "",IF(ajudes1_2023="", "",ajudes1_2023))</f>
        <v/>
      </c>
      <c r="M3" s="177" t="str">
        <f>IF(nomemp2= " ", " ", IF(subvencions2016="","",subvencions2016))</f>
        <v/>
      </c>
      <c r="N3" s="177" t="str">
        <f>IF(nomemp2= " ", " ", IF(subvencions1_2017="","",subvencions1_2017))</f>
        <v/>
      </c>
      <c r="O3" s="177" t="str">
        <f>IF(nomemp2= " ", " ", IF(subvencions1_2018="","",subvencions1_2018))</f>
        <v/>
      </c>
      <c r="P3" s="177" t="str">
        <f>IF(nomemp2= " ", " ", IF(subvencions1_2019="","",subvencions1_2019))</f>
        <v/>
      </c>
      <c r="Q3" s="177" t="str">
        <f>IF(nomemp2= " ", " ", IF(subvencions1_2020="","",subvencions1_2020))</f>
        <v/>
      </c>
      <c r="R3" s="177" t="str">
        <f>IF(nomemp2= " ", " ", IF(subvencions1_2021="","",subvencions1_2021))</f>
        <v/>
      </c>
      <c r="S3" s="177" t="str">
        <f>IF(nomemp2= " ", " ", IF(subvencions1_2022="","",subvencions1_2022))</f>
        <v/>
      </c>
      <c r="T3" s="177" t="str">
        <f>IF(nomemp2= " ", " ", IF(subvencions1_2023="","",subvencions1_2023))</f>
        <v/>
      </c>
      <c r="U3" s="177" t="str">
        <f>IF(nomemp2= " ", "",IF(iprivadaipublica2017="","",iprivadaipublica2017))</f>
        <v/>
      </c>
      <c r="V3" s="177" t="str">
        <f>IF(nomemp2= " ", "",IF(iprivadaipublica1_2017="","",iprivadaipublica1_2017))</f>
        <v/>
      </c>
      <c r="W3" s="177" t="str">
        <f>IF(nomemp2= " ", "",IF(iprivadaipublica1_2018="","",iprivadaipublica1_2018))</f>
        <v/>
      </c>
      <c r="X3" s="177" t="str">
        <f>IF(nomemp2= " ", "",IF(iprivadaipublica1_2019="","",iprivadaipublica1_2019))</f>
        <v/>
      </c>
      <c r="Y3" s="177" t="str">
        <f>IF(nomemp2= " ", "",IF(iprivadaipublica1_2020="","",iprivadaipublica1_2020))</f>
        <v/>
      </c>
      <c r="Z3" s="177" t="str">
        <f>IF(nomemp2= " ", "",IF(iprivadaipublica1_2021="","",iprivadaipublica1_2021))</f>
        <v/>
      </c>
      <c r="AA3" s="177" t="str">
        <f>IF(nomemp2= " ", "",IF(iprivadaipublica1_2022="","",iprivadaipublica1_2022))</f>
        <v/>
      </c>
      <c r="AB3" s="177" t="str">
        <f>IF(nomemp2= " ", "",IF(iprivadaipublica1_2023="","",iprivadaipublica1_2023))</f>
        <v/>
      </c>
      <c r="AC3" s="177" t="str">
        <f>IF(nomemp2="","",IF(copera2016="","",copera2016))</f>
        <v/>
      </c>
      <c r="AD3" s="177" t="str">
        <f>IF(nomemp2="","",IF(copera1_2017="","",copera1_2017))</f>
        <v/>
      </c>
      <c r="AE3" s="177" t="str">
        <f>IF(nomemp2="","",IF(copera1_2018="","",copera1_2018))</f>
        <v/>
      </c>
      <c r="AF3" s="177" t="str">
        <f>IF(nomemp2="","",IF(copera1_2019="","",copera1_2019))</f>
        <v/>
      </c>
      <c r="AG3" s="177" t="str">
        <f>IF(nomemp2="","",IF(copera1_2020="","",copera1_2020))</f>
        <v/>
      </c>
      <c r="AH3" s="177" t="str">
        <f>IF(nomemp2="","",IF(copera1_2021="","",copera1_2021))</f>
        <v/>
      </c>
      <c r="AI3" s="177" t="str">
        <f>IF(nomemp2="","",IF(copera1_2022="","",copera1_2022))</f>
        <v/>
      </c>
      <c r="AJ3" s="177" t="str">
        <f>IF(nomemp2="","",IF(copera1_2023="","",copera1_2023))</f>
        <v/>
      </c>
      <c r="AK3" s="177" t="str">
        <f>IF(nomemp2="","",IF(investigadorshomes2016="","",investigadorshomes2016))</f>
        <v/>
      </c>
      <c r="AL3" s="177" t="str">
        <f>IF(nomemp2="","",IF(investigadorshomes1_2017="","",investigadorshomes1_2017))</f>
        <v/>
      </c>
      <c r="AM3" s="177" t="str">
        <f>IF(nomemp2="","",IF(investigadorshomes1_2018="","",investigadorshomes1_2018))</f>
        <v/>
      </c>
      <c r="AN3" s="177" t="str">
        <f>IF(nomemp2="","",IF(investigadorshomes1_2019="","",investigadorshomes1_2019))</f>
        <v/>
      </c>
      <c r="AO3" s="177" t="str">
        <f>IF(nomemp2="","",IF(investigadorshomes1_2020="","",investigadorshomes1_2020))</f>
        <v/>
      </c>
      <c r="AP3" s="177" t="str">
        <f>IF(nomemp2="","",IF(investigadorshomes1_2021="","",investigadorshomes1_2021))</f>
        <v/>
      </c>
      <c r="AQ3" s="177" t="str">
        <f>IF(nomemp2="","",IF(investigadorshomes1_2022="","",investigadorshomes1_2022))</f>
        <v/>
      </c>
      <c r="AR3" s="177" t="str">
        <f>IF(nomemp2="","",IF(investigadorshomes1_2023="","",investigadorshomes1_2023))</f>
        <v/>
      </c>
      <c r="AS3" s="177" t="str">
        <f>IF(nomemp2="","",IF(investigadorsdones2016= "","",investigadorsdones2016))</f>
        <v/>
      </c>
      <c r="AT3" s="177" t="str">
        <f>IF(nomemp2="","",IF(investigadorsdones1_2017= "","",investigadorsdones1_2017))</f>
        <v/>
      </c>
      <c r="AU3" s="177" t="str">
        <f>IF(nomemp2="","",IF(investigadorsdones1_2018= "","",investigadorsdones1_2018))</f>
        <v/>
      </c>
      <c r="AV3" s="177" t="str">
        <f>IF(nomemp2="","",IF(investigadorsdones1_2019= "","",investigadorsdones1_2019))</f>
        <v/>
      </c>
      <c r="AW3" s="177" t="str">
        <f>IF(nomemp2="","",IF(investigadorsdones1_2020= "","",investigadorsdones1_2020))</f>
        <v/>
      </c>
      <c r="AX3" s="177" t="str">
        <f>IF(nomemp2="","",IF(investigadorsdones1_2021= "","",investigadorsdones1_2021))</f>
        <v/>
      </c>
      <c r="AY3" s="177" t="str">
        <f>IF(nomemp2="","",IF(investigadorsdones1_2022= "","",investigadorsdones1_2022))</f>
        <v/>
      </c>
      <c r="AZ3" s="177" t="str">
        <f>IF(nomemp2="","",IF(investigadorsdones1_2023= "","",investigadorsdones1_2023))</f>
        <v/>
      </c>
      <c r="BA3" s="177" t="str">
        <f>IF(nomemp2=" ", " ",IF(investigadorstotal2016="","",investigadorstotal2016))</f>
        <v/>
      </c>
      <c r="BB3" s="177" t="str">
        <f>IF(nomemp2=" ", " ",IF(investigadorstotal1_2017="","",investigadorstotal1_2017))</f>
        <v/>
      </c>
      <c r="BC3" s="177" t="str">
        <f>IF(nomemp2=" ", " ",IF(investigadorstotal1_2018="","",investigadorstotal1_2018))</f>
        <v/>
      </c>
      <c r="BD3" s="177" t="str">
        <f>IF(nomemp2=" ", " ",IF(investigadorstotal1_2019="","",investigadorstotal1_2019))</f>
        <v/>
      </c>
      <c r="BE3" s="177" t="str">
        <f>IF(nomemp2=" ", " ",IF(investigadorstotal1_2020="","",investigadorstotal1_2020))</f>
        <v/>
      </c>
      <c r="BF3" s="177" t="str">
        <f>IF(nomemp2=" ", " ",IF(investigadorstotal1_2021="","",investigadorstotal1_2021))</f>
        <v/>
      </c>
      <c r="BG3" s="177" t="str">
        <f>IF(nomemp2=" ", " ",IF(investigadorstotal1_2022="","",investigadorstotal1_2022))</f>
        <v/>
      </c>
      <c r="BH3" s="177" t="str">
        <f>IF(nomemp2=" ", " ",IF(investigadorstotal1_2023="","",investigadorstotal1_2023))</f>
        <v/>
      </c>
      <c r="BI3" s="177" t="str">
        <f>IF(nomemp2=" ", " ",IF(certificacio2016="","",certificacio2016))</f>
        <v/>
      </c>
      <c r="BJ3" s="177" t="str">
        <f>IF(nomemp2=" ", " ",IF(certificacio1_2017="","",certificacio1_2017))</f>
        <v/>
      </c>
      <c r="BK3" s="177" t="str">
        <f>IF(nomemp2=" ", " ",IF(certificacio1_2018="","",certificacio1_2018))</f>
        <v/>
      </c>
      <c r="BL3" s="177" t="str">
        <f>IF(nomemp2=" "," ",IF(certificacio1_2019="","",certificacio1_2019))</f>
        <v/>
      </c>
      <c r="BM3" s="177" t="str">
        <f>IF(nomemp2=" ", " ",IF(certificacio1_2020="","",certificacio1_2020))</f>
        <v/>
      </c>
      <c r="BN3" s="177" t="str">
        <f>IF(nomemp2=" ", " ",IF(certificacio1_2021="","",certificacio1_2021))</f>
        <v/>
      </c>
      <c r="BO3" s="177" t="str">
        <f>IF(nomemp2=" ", " ",IF(certificacio1_2022="","",certificacio1_2022))</f>
        <v/>
      </c>
      <c r="BP3" s="177" t="str">
        <f>IF(nomemp2=" ", " ",IF(certificacio1_2023="","",certificacio1_2023))</f>
        <v/>
      </c>
      <c r="BQ3" s="177" t="str">
        <f>IF(nomemp2="","",IF(ipublica2016="","",ipublica2016))</f>
        <v/>
      </c>
      <c r="BR3" s="177" t="str">
        <f>IF(nomemp2="","",IF(ipublica1_2017="","",ipublica1_2017))</f>
        <v/>
      </c>
      <c r="BS3" s="177" t="str">
        <f>IF(nomemp2="","",IF(ipublica1_2018="","",ipublica1_2018))</f>
        <v/>
      </c>
      <c r="BT3" s="177" t="str">
        <f>IF(nomemp2="","",IF(ipublica1_2019="","",ipublica1_2019))</f>
        <v/>
      </c>
      <c r="BU3" s="177" t="str">
        <f>IF(nomemp2="","",IF(ipublica1_2020="","",ipublica1_2020))</f>
        <v/>
      </c>
      <c r="BV3" s="177" t="str">
        <f>IF(nomemp2="","",IF(ipublica1_2021="","",ipublica1_2021))</f>
        <v/>
      </c>
      <c r="BW3" s="177" t="str">
        <f>IF(nomemp2="","",IF(ipublica1_2022="","",ipublica1_2022))</f>
        <v/>
      </c>
      <c r="BX3" s="177" t="str">
        <f>IF(nomemp2="","",IF(ipublica1_2023="","",ipublica1_2023))</f>
        <v/>
      </c>
      <c r="BY3" s="177" t="str">
        <f>IF(nomemp2="","",IF(iprivada2016="","",iprivada2016))</f>
        <v/>
      </c>
      <c r="BZ3" s="177" t="str">
        <f>IF(nomemp2="","",IF(iprivada1_2017="","",iprivada1_2017))</f>
        <v/>
      </c>
      <c r="CA3" s="177" t="str">
        <f>IF(nomemp2="","",IF(iprivada1_2018="","",iprivada1_2018))</f>
        <v/>
      </c>
      <c r="CB3" s="177" t="str">
        <f>IF(nomemp2="","",IF(iprivada1_2019="","",iprivada1_2019))</f>
        <v/>
      </c>
      <c r="CC3" s="177" t="str">
        <f>IF(nomemp2="","",IF(iprivada1_2020="","",iprivada1_2020))</f>
        <v/>
      </c>
      <c r="CD3" s="177" t="str">
        <f>IF(nomemp2="","",IF(iprivada1_2021="","",iprivada1_2021))</f>
        <v/>
      </c>
      <c r="CE3" s="177" t="str">
        <f>IF(nomemp2="","",IF(iprivada1_2022="","",iprivada1_2022))</f>
        <v/>
      </c>
      <c r="CF3" s="177" t="str">
        <f>IF(nomemp2="","",IF(iprivada1_2023="","",iprivada1_2023))</f>
        <v/>
      </c>
      <c r="CG3" s="177" t="str">
        <f>IF(nomemp2="","",IF(investigadorstotalprojecte2016="","",investigadorstotalprojecte2016))</f>
        <v/>
      </c>
      <c r="CH3" s="177" t="str">
        <f>IF(nomemp2="","",IF(investigadorstotalprojecte1_2017="","",investigadorstotalprojecte1_2017))</f>
        <v/>
      </c>
      <c r="CI3" s="177" t="str">
        <f>IF(nomemp2="","",IF(investigadorstotalprojecte1_2018="","",investigadorstotalprojecte1_2018))</f>
        <v/>
      </c>
      <c r="CJ3" s="177" t="str">
        <f>IF(nomemp2="","",IF(investigadorstotalprojecte1_2019="","",investigadorstotalprojecte1_2019))</f>
        <v/>
      </c>
      <c r="CK3" s="177" t="str">
        <f>IF(nomemp2="","",IF(investigadorstotalprojecte1_2020="","",investigadorstotalprojecte1_2020))</f>
        <v/>
      </c>
      <c r="CL3" s="177" t="str">
        <f>IF(nomemp2="","",IF(investigadorstotalprojecte1_2021="","",investigadorstotalprojecte1_2021))</f>
        <v/>
      </c>
      <c r="CM3" s="177" t="str">
        <f>IF(nomemp2="","",IF(investigadorstotalprojecte1_2022="","",investigadorstotalprojecte1_2022))</f>
        <v/>
      </c>
      <c r="CN3" s="177" t="str">
        <f>IF(nomemp2="","",IF(investigadorstotalprojecte1_2023="","",investigadorstotalprojecte1_2023))</f>
        <v/>
      </c>
      <c r="CO3" s="177" t="str">
        <f>IF(nomemp2="","",IF(investigadorshomesprojecte2016="","",investigadorshomesprojecte2016))</f>
        <v/>
      </c>
      <c r="CP3" s="177" t="str">
        <f>IF(nomemp2="","",IF(investigadorshomesprojecte1_2017="","",investigadorshomesprojecte1_2017))</f>
        <v/>
      </c>
      <c r="CQ3" s="177" t="str">
        <f>IF(nomemp2="","",IF(investigadorshomesprojecte1_2018="","",investigadorshomesprojecte1_2018))</f>
        <v/>
      </c>
      <c r="CR3" s="177" t="str">
        <f>IF(nomemp2="","",IF(investigadorshomesprojecte1_2019="","",investigadorshomesprojecte1_2019))</f>
        <v/>
      </c>
      <c r="CS3" s="177" t="str">
        <f>IF(nomemp2="","",IF(investigadorshomesprojecte1_2020="","",investigadorshomesprojecte1_2020))</f>
        <v/>
      </c>
      <c r="CT3" s="177" t="str">
        <f>IF(nomemp2="","",IF(investigadorshomesprojecte1_2021="","",investigadorshomesprojecte1_2021))</f>
        <v/>
      </c>
      <c r="CU3" s="177" t="str">
        <f>IF(nomemp2="","",IF(investigadorshomesprojecte1_2022="","",investigadorshomesprojecte1_2022))</f>
        <v/>
      </c>
      <c r="CV3" s="177" t="str">
        <f>IF(nomemp2="","",IF(investigadorshomesprojecte1_2023="","",investigadorshomesprojecte1_2023))</f>
        <v/>
      </c>
      <c r="CW3" s="177" t="str">
        <f>IF(nomemp2="","",IF(investigadorsdonesprojecte2016="","",investigadorsdonesprojecte2016))</f>
        <v/>
      </c>
      <c r="CX3" s="177" t="str">
        <f>IF(nomemp2="","",IF(investigadorsdonesprojecte1_2017="","",investigadorsdonesprojecte1_2017))</f>
        <v/>
      </c>
      <c r="CY3" s="177" t="str">
        <f>IF(nomemp2="","",IF(investigadorsdonesprojecte1_2018="","",investigadorsdonesprojecte1_2018))</f>
        <v/>
      </c>
      <c r="CZ3" s="177" t="str">
        <f>IF(nomemp2="","",IF(investigadorsdonesprojecte1_2019="","",investigadorsdonesprojecte1_2019))</f>
        <v/>
      </c>
      <c r="DA3" s="177" t="str">
        <f>IF(nomemp2="","",IF(investigadorsdonesprojecte1_2020="","",investigadorsdonesprojecte1_2020))</f>
        <v/>
      </c>
      <c r="DB3" s="177" t="str">
        <f>IF(nomemp2="","",IF(investigadorsdonesprojecte1_2021="","",investigadorsdonesprojecte1_2021))</f>
        <v/>
      </c>
      <c r="DC3" s="177" t="str">
        <f>IF(nomemp2="","",IF(investigadorsdonesprojecte1_2022="","",investigadorsdonesprojecte1_2022))</f>
        <v/>
      </c>
      <c r="DD3" s="177" t="str">
        <f>IF(nomemp2="","",IF(investigadorsdonesprojecte1_2023="","",investigadorsdonesprojecte1_2023))</f>
        <v/>
      </c>
      <c r="DE3" s="177" t="str">
        <f>IF(nomemp2="","",IF(empresesprivades2017="","",empresesprivades2017))</f>
        <v/>
      </c>
      <c r="DF3" s="177" t="str">
        <f>IF(nomemp2="","",IF(empresesprivades1_2017="","",empresesprivades1_2017))</f>
        <v/>
      </c>
      <c r="DG3" s="177" t="str">
        <f>IF(nomemp2="","",IF(empresesprivades1_2018="","",empresesprivades1_2018))</f>
        <v/>
      </c>
      <c r="DH3" s="177" t="str">
        <f>IF(nomemp2="","",IF(empresesprivades1_2019="","",empresesprivades1_2019))</f>
        <v/>
      </c>
      <c r="DI3" s="177" t="str">
        <f>IF(nomemp2="","",IF(empresesprivades1_2020="","",empresesprivades1_2020))</f>
        <v/>
      </c>
      <c r="DJ3" s="177" t="str">
        <f>IF(nomemp2="","",IF(empresesprivades1_2021="","",empresesprivades1_2021))</f>
        <v/>
      </c>
      <c r="DK3" s="177" t="str">
        <f>IF(nomemp2="","",IF(empresesprivades1_2022="","",empresesprivades1_2022))</f>
        <v/>
      </c>
      <c r="DL3" s="177" t="str">
        <f>IF(nomemp2="","",IF(empresesprivades1_2023="","",empresesprivades1_2023))</f>
        <v/>
      </c>
      <c r="DM3" s="177" t="str">
        <f>IF(nomemp2="","",IF(empresespubliques2017="","",empresespubliques2017))</f>
        <v/>
      </c>
      <c r="DN3" s="177" t="str">
        <f>IF(nomemp2="","",IF(empresespubliques1_2017="","",empresespubliques1_2017))</f>
        <v/>
      </c>
      <c r="DO3" s="177" t="str">
        <f>IF(nomemp2="","",IF(empresespubliques1_2018="","",empresespubliques1_2018))</f>
        <v/>
      </c>
      <c r="DP3" s="177" t="str">
        <f>IF(nomemp2="","",IF(empresespubliques1_2019="","",empresespubliques1_2019))</f>
        <v/>
      </c>
      <c r="DQ3" s="177" t="str">
        <f>IF(nomemp2="","",IF(empresespubliques1_2020="","",empresespubliques1_2020))</f>
        <v/>
      </c>
      <c r="DR3" s="177" t="str">
        <f>IF(nomemp2="","",IF(empresespubliques1_2021="","",empresespubliques1_2021))</f>
        <v/>
      </c>
      <c r="DS3" s="177" t="str">
        <f>IF(nomemp2="","",IF(empresespubliques1_2022="","",empresespubliques1_2022))</f>
        <v/>
      </c>
      <c r="DT3" s="177" t="str">
        <f>IF(nomemp2="","",IF(empresespubliques1_2023="","",empresespubliques1_2023))</f>
        <v/>
      </c>
      <c r="DU3" s="177" t="str">
        <f>IF(nomemp2="","",IF(centrestecnologics2017="","",centrestecnologics2017))</f>
        <v/>
      </c>
      <c r="DV3" s="177" t="str">
        <f>IF(nomemp2="","",IF(centrestecnologics1_2017="","",centrestecnologics1_2017))</f>
        <v/>
      </c>
      <c r="DW3" s="177" t="str">
        <f>IF(nomemp2="","",IF(centrestecnologics1_2018="","",centrestecnologics1_2018))</f>
        <v/>
      </c>
      <c r="DX3" s="177" t="str">
        <f>IF(nomemp2="","",IF(centrestecnologics1_2019="","",centrestecnologics1_2019))</f>
        <v/>
      </c>
      <c r="DY3" s="177" t="str">
        <f>IF(nomemp2="","",IF(centrestecnologics1_2020="","",centrestecnologics1_2020))</f>
        <v/>
      </c>
      <c r="DZ3" s="177" t="str">
        <f>IF(nomemp2="","",IF(centrestecnologics1_2021="","",centrestecnologics1_2021))</f>
        <v/>
      </c>
      <c r="EA3" s="177" t="str">
        <f>IF(nomemp2="","",IF(centrestecnologics1_2022="","",centrestecnologics1_2022))</f>
        <v/>
      </c>
      <c r="EB3" s="177" t="str">
        <f>IF(nomemp2="","",IF(centrestecnologics1_2023="","",centrestecnologics1_2023))</f>
        <v/>
      </c>
      <c r="EC3" s="177" t="str">
        <f>IF(nomemp2="","",IF(universitats2017="","",universitats2017))</f>
        <v/>
      </c>
      <c r="ED3" s="177" t="str">
        <f>IF(nomemp2="","",IF(universitats1_2017="","",universitats1_2017))</f>
        <v/>
      </c>
      <c r="EE3" s="177" t="str">
        <f>IF(nomemp2="","",IF(universitats1_2018="","",universitats1_2018))</f>
        <v/>
      </c>
      <c r="EF3" s="177" t="str">
        <f>IF(nomemp2="","",IF(universitats1_2019="","",universitats1_2019))</f>
        <v/>
      </c>
      <c r="EG3" s="177" t="str">
        <f>IF(nomemp2="","",IF(universitats1_2020="","",universitats1_2020))</f>
        <v/>
      </c>
      <c r="EH3" s="177" t="str">
        <f>IF(nomemp2="","",IF(universitats1_2021="","",universitats1_2021))</f>
        <v/>
      </c>
      <c r="EI3" s="177" t="str">
        <f>IF(nomemp2="","",IF(universitats1_2022="","",universitats1_2022))</f>
        <v/>
      </c>
      <c r="EJ3" s="177" t="str">
        <f>IF(nomemp2="","",IF(universitats1_2023="","",universitats1_2023))</f>
        <v/>
      </c>
      <c r="EK3" s="177" t="str">
        <f>IF(nomemp2="","",IF(centresrecerca2017="","",centresrecerca2017))</f>
        <v/>
      </c>
      <c r="EL3" s="177" t="str">
        <f>IF(nomemp2="","",IF(centresrecerca1_2017="","",centresrecerca1_2017))</f>
        <v/>
      </c>
      <c r="EM3" s="177" t="str">
        <f>IF(nomemp2="","",IF(centresrecerca1_2018="","",centresrecerca1_2018))</f>
        <v/>
      </c>
      <c r="EN3" s="177" t="str">
        <f>IF(nomemp2="","",IF(centresrecerca1_2019="","",centresrecerca1_2019))</f>
        <v/>
      </c>
      <c r="EO3" s="177" t="str">
        <f>IF(nomemp2="","",IF(centresrecerca1_2020="","",centresrecerca1_2020))</f>
        <v/>
      </c>
      <c r="EP3" s="177" t="str">
        <f>IF(nomemp2="","",IF(centresrecerca1_2021="","",centresrecerca1_2021))</f>
        <v/>
      </c>
      <c r="EQ3" s="177" t="str">
        <f>IF(nomemp2="","",IF(centresrecerca1_2022="","",centresrecerca1_2022))</f>
        <v/>
      </c>
      <c r="ER3" s="177" t="str">
        <f>IF(nomemp2="","",IF(centresrecerca1_2023="","",centresrecerca1_2023))</f>
        <v/>
      </c>
      <c r="ES3" s="177" t="str">
        <f>IF(nomemp2="","",IF(infraestructures2017="","",infraestructures2017))</f>
        <v/>
      </c>
      <c r="ET3" s="177" t="str">
        <f>IF(nomemp2="","",IF(infraestructures1_2017="","",infraestructures1_2017))</f>
        <v/>
      </c>
      <c r="EU3" s="177" t="str">
        <f>IF(nomemp2="","",IF(infraestructures1_2018="","",infraestructures1_2018))</f>
        <v/>
      </c>
      <c r="EV3" s="177" t="str">
        <f>IF(nomemp2="","",IF(infraestructures1_2019="","",infraestructures1_2019))</f>
        <v/>
      </c>
      <c r="EW3" s="177" t="str">
        <f>IF(nomemp2="","",IF(infraestructures1_2020="","",infraestructures1_2020))</f>
        <v/>
      </c>
      <c r="EX3" s="177" t="str">
        <f>IF(nomemp2="","",IF(infraestructures1_2021="","",infraestructures1_2021))</f>
        <v/>
      </c>
      <c r="EY3" s="177" t="str">
        <f>IF(nomemp2="","",IF(infraestructures1_2022="","",infraestructures1_2022))</f>
        <v/>
      </c>
      <c r="EZ3" s="177" t="str">
        <f>IF(nomemp2="","",IF(infraestructures1_2023="","",infraestructures1_2023))</f>
        <v/>
      </c>
      <c r="FA3" s="177" t="str">
        <f>IF(nomemp2="","",IF(spinoff2017="","",spinoff2017))</f>
        <v/>
      </c>
      <c r="FB3" s="177" t="str">
        <f>IF(nomemp2="","",IF(spinoff1_2017="","",spinoff1_2017))</f>
        <v/>
      </c>
      <c r="FC3" s="177" t="str">
        <f>IF(nomemp2="","",IF(spinoff1_2018="","",spinoff1_2018))</f>
        <v/>
      </c>
      <c r="FD3" s="177" t="str">
        <f>IF(nomemp2="","",IF(spinoff1_2019="","",spinoff1_2019))</f>
        <v/>
      </c>
      <c r="FE3" s="177" t="str">
        <f>IF(nomemp2="","",IF(spinoff1_2020="","",spinoff1_2020))</f>
        <v/>
      </c>
      <c r="FF3" s="177" t="str">
        <f>IF(nomemp2="","",IF(spinoff1_2021="","",spinoff1_2021))</f>
        <v/>
      </c>
      <c r="FG3" s="177" t="str">
        <f>IF(nomemp2="","",IF(spinoff1_2022="","",spinoff1_2022))</f>
        <v/>
      </c>
      <c r="FH3" s="177" t="str">
        <f>IF(nomemp2="","",IF(spinoff1_2023="","",spinoff1_2023))</f>
        <v/>
      </c>
      <c r="FI3" s="177" t="str">
        <f>IF(nomemp2="","",IF(patents2017="","",patents2017))</f>
        <v/>
      </c>
      <c r="FJ3" s="177" t="str">
        <f>IF(nomemp2="","",IF(patents1_2017="","",patents1_2017))</f>
        <v/>
      </c>
      <c r="FK3" s="177" t="str">
        <f>IF(nomemp2="","",IF(patents1_2018="","",patents1_2018))</f>
        <v/>
      </c>
      <c r="FL3" s="177" t="str">
        <f>IF(nomemp2="","",IF(patents1_2019="","",patents1_2019))</f>
        <v/>
      </c>
      <c r="FM3" s="177" t="str">
        <f>IF(nomemp2="","",IF(patents1_2020="","",patents1_2020))</f>
        <v/>
      </c>
      <c r="FN3" s="177" t="str">
        <f>IF(nomemp2="","",IF(patents1_2021="","",patents1_2021))</f>
        <v/>
      </c>
      <c r="FO3" s="177" t="str">
        <f>IF(nomemp2="","",IF(patents1_2022="","",patents1_2022))</f>
        <v/>
      </c>
      <c r="FP3" s="177" t="str">
        <f>IF(nomemp2="","",IF(patents1_2023="","",patents1_2023))</f>
        <v/>
      </c>
      <c r="FQ3" s="177" t="str">
        <f>IF(nomemp2="","",IF(marques2017="","",marques2017))</f>
        <v/>
      </c>
      <c r="FR3" s="177" t="str">
        <f>IF(nomemp2="","",IF(marques1_2017="","",marques1_2017))</f>
        <v/>
      </c>
      <c r="FS3" s="177" t="str">
        <f>IF(nomemp2="","",IF(marques1_2018="","",marques1_2018))</f>
        <v/>
      </c>
      <c r="FT3" s="177" t="str">
        <f>IF(nomemp2="","",IF(marques1_2019="","",marques1_2019))</f>
        <v/>
      </c>
      <c r="FU3" s="177" t="str">
        <f>IF(nomemp2="","",IF(marques1_2020="","",marques1_2020))</f>
        <v/>
      </c>
      <c r="FV3" s="177" t="str">
        <f>IF(nomemp2="","",IF(marques1_2021="","",marques1_2021))</f>
        <v/>
      </c>
      <c r="FW3" s="177" t="str">
        <f>IF(nomemp2="","",IF(marques1_2022="","",marques1_2022))</f>
        <v/>
      </c>
      <c r="FX3" s="177" t="str">
        <f>IF(nomemp2="","",IF(marques1_2023="","",marques1_2023))</f>
        <v/>
      </c>
      <c r="FY3" s="177" t="str">
        <f>IF(nomemp2="","",IF(innoven2017="","",innoven2017))</f>
        <v/>
      </c>
      <c r="FZ3" s="177" t="str">
        <f>IF(nomemp2="","",IF(innoven1_2017="","",innoven1_2017))</f>
        <v/>
      </c>
      <c r="GA3" s="177" t="str">
        <f>IF(nomemp2="","",IF(innoven1_2018="","",innoven1_2018))</f>
        <v/>
      </c>
      <c r="GB3" s="177" t="str">
        <f>IF(nomemp2="","",IF(innoven1_2019="","",innoven1_2019))</f>
        <v/>
      </c>
      <c r="GC3" s="177" t="str">
        <f>IF(nomemp2="","",IF(innoven1_2020="","",innoven1_2020))</f>
        <v/>
      </c>
      <c r="GD3" s="177" t="str">
        <f>IF(nomemp2="","",IF(innoven1_2021="","",innoven1_2021))</f>
        <v/>
      </c>
      <c r="GE3" s="177" t="str">
        <f>IF(nomemp2="","",IF(innoven1_2022="","",innoven1_2022))</f>
        <v/>
      </c>
      <c r="GF3" s="177" t="str">
        <f>IF(nomemp2="","",IF(innoven1_2023="","",innoven1_2023))</f>
        <v/>
      </c>
      <c r="GG3" s="177" t="str">
        <f>IF(nomemp2="","",IF(llocsdetreball2017="","",llocsdetreball2017))</f>
        <v/>
      </c>
      <c r="GH3" s="177" t="str">
        <f>IF(nomemp2="","",IF(llocsdetreball1_2017="","",llocsdetreball1_2017))</f>
        <v/>
      </c>
      <c r="GI3" s="177" t="str">
        <f>IF(nomemp2="","",IF(llocsdetreball1_2018="","",llocsdetreball1_2018))</f>
        <v/>
      </c>
      <c r="GJ3" s="177" t="str">
        <f>IF(nomemp2="","",IF(llocsdetreball1_2019="","",llocsdetreball1_2019))</f>
        <v/>
      </c>
      <c r="GK3" s="177" t="str">
        <f>IF(nomemp2="","",IF(llocsdetreball1_2020="","",llocsdetreball1_2020))</f>
        <v/>
      </c>
      <c r="GL3" s="177" t="str">
        <f>IF(nomemp2="","",IF(llocsdetreball1_2021="","",llocsdetreball1_2021))</f>
        <v/>
      </c>
      <c r="GM3" s="177" t="str">
        <f>IF(nomemp2="","",IF(llocsdetreball1_2022="","",llocsdetreball1_2022))</f>
        <v/>
      </c>
      <c r="GN3" s="177" t="str">
        <f>IF(nomemp2="","",IF(llocsdetreball1_2023="","",llocsdetreball1_2023))</f>
        <v/>
      </c>
      <c r="GO3" s="177" t="str">
        <f>IF(nomemp2="","",IF(formacio2017="","",formacio2017))</f>
        <v/>
      </c>
      <c r="GP3" s="177" t="str">
        <f>IF(nomemp2="","",IF(formacio1_2017="","",formacio1_2017))</f>
        <v/>
      </c>
      <c r="GQ3" s="177" t="str">
        <f>IF(nomemp2="","",IF(formacio1_2018="","",formacio1_2018))</f>
        <v/>
      </c>
      <c r="GR3" s="177" t="str">
        <f>IF(nomemp2="","",IF(formacio1_2019="","",formacio1_2019))</f>
        <v/>
      </c>
      <c r="GS3" s="177" t="str">
        <f>IF(nomemp2="","",IF(formacio1_2020="","",formacio1_2020))</f>
        <v/>
      </c>
      <c r="GT3" s="177" t="str">
        <f>IF(nomemp2="","",IF(formacio1_2021="","",formacio1_2021))</f>
        <v/>
      </c>
      <c r="GU3" s="177" t="str">
        <f>IF(nomemp2="","",IF(formacio1_2022="","",formacio1_2022))</f>
        <v/>
      </c>
      <c r="GV3" s="177" t="str">
        <f>IF(nomemp2="","",IF(formacio1_2023="","",formacio1_2023))</f>
        <v/>
      </c>
      <c r="GW3" s="177" t="str">
        <f>IF(nomemp2="","",IF(ingressos2017="","",ingressos2017))</f>
        <v/>
      </c>
      <c r="GX3" s="177" t="str">
        <f>IF(nomemp2="","",IF(ingressos1_2017="","",ingressos1_2017))</f>
        <v/>
      </c>
      <c r="GY3" s="177" t="str">
        <f>IF(nomemp2="","",IF(ingressos1_2018="","",ingressos1_2018))</f>
        <v/>
      </c>
      <c r="GZ3" s="177" t="str">
        <f>IF(nomemp2="","",IF(ingressos1_2019="","",ingressos1_2019))</f>
        <v/>
      </c>
      <c r="HA3" s="177" t="str">
        <f>IF(nomemp2="","",IF(ingressos1_2020="","",ingressos1_2020))</f>
        <v/>
      </c>
      <c r="HB3" s="177" t="str">
        <f>IF(nomemp2="","",IF(ingressos1_2021="","",ingressos1_2021))</f>
        <v/>
      </c>
      <c r="HC3" s="177" t="str">
        <f>IF(nomemp2="","",IF(ingressos1_2022="","",ingressos1_2022))</f>
        <v/>
      </c>
      <c r="HD3" s="177" t="str">
        <f>IF(nomemp2="","",IF(ingressos1_2023="","",ingressos1_2023))</f>
        <v/>
      </c>
      <c r="HE3" s="177" t="str">
        <f>IF(nomemp2="","",IF(exportacions2017="","",exportacions2017))</f>
        <v/>
      </c>
      <c r="HF3" s="177" t="str">
        <f>IF(nomemp2="","",IF(exportacions1_2017="","",exportacions1_2017))</f>
        <v/>
      </c>
      <c r="HG3" s="177" t="str">
        <f>IF(nomemp2="","",IF(exportacions1_2018="","",exportacions1_2018))</f>
        <v/>
      </c>
      <c r="HH3" s="177" t="str">
        <f>IF(nomemp2="","",IF(exportacions1_2019="","",exportacions1_2019))</f>
        <v/>
      </c>
      <c r="HI3" s="177" t="str">
        <f>IF(nomemp2="","",IF(exportacions1_2020="","",exportacions1_2020))</f>
        <v/>
      </c>
      <c r="HJ3" s="177" t="str">
        <f>IF(nomemp2="","",IF(exportacions1_2021="","",exportacions1_2021))</f>
        <v/>
      </c>
      <c r="HK3" s="177" t="str">
        <f>IF(nomemp2="","",IF(exportacions1_2022="","",exportacions1_2022))</f>
        <v/>
      </c>
      <c r="HL3" s="177" t="str">
        <f>IF(nomemp2="","",IF(exportacions1_2023="","",exportacions1_2023))</f>
        <v/>
      </c>
      <c r="HM3" s="177" t="str">
        <f>IF(nomemp2="","",IF(oportunitats2017="","",oportunitats2017))</f>
        <v/>
      </c>
      <c r="HN3" s="177" t="str">
        <f>IF(nomemp2="","",IF(oportunitats1_2017="","",oportunitats1_2017))</f>
        <v/>
      </c>
      <c r="HO3" s="177" t="str">
        <f>IF(nomemp2="","",IF(oportunitats1_2018="","",oportunitats1_2018))</f>
        <v/>
      </c>
      <c r="HP3" s="177" t="str">
        <f>IF(nomemp2="","",IF(oportunitats1_2019="","",oportunitats1_2019))</f>
        <v/>
      </c>
      <c r="HQ3" s="177" t="str">
        <f>IF(nomemp2="","",IF(oportunitats1_2020="","",oportunitats1_2020))</f>
        <v/>
      </c>
      <c r="HR3" s="177" t="str">
        <f>IF(nomemp2="","",IF(oportunitats1_2021="","",oportunitats1_2021))</f>
        <v/>
      </c>
      <c r="HS3" s="177" t="str">
        <f>IF(nomemp2="","",IF(oportunitats1_2022="","",oportunitats1_2022))</f>
        <v/>
      </c>
      <c r="HT3" s="177" t="str">
        <f>IF(nomemp2="","",IF(oportunitats1_2023="","",oportunitats1_2023))</f>
        <v/>
      </c>
      <c r="HU3" s="177" t="str">
        <f>IF(nomemp2="","",IF(productivitat2017="","",productivitat2017))</f>
        <v/>
      </c>
      <c r="HV3" s="177" t="str">
        <f>IF(nomemp2="","",IF(productivitat1_2017="","",productivitat1_2017))</f>
        <v/>
      </c>
      <c r="HW3" s="177" t="str">
        <f>IF(nomemp2="","",IF(productivitat1_2018="","",productivitat1_2018))</f>
        <v/>
      </c>
      <c r="HX3" s="177" t="str">
        <f>IF(nomemp2="","",IF(productivitat1_2019="","",productivitat1_2019))</f>
        <v/>
      </c>
      <c r="HY3" s="177" t="str">
        <f>IF(nomemp2="","",IF(productivitat1_2020="","",productivitat1_2020))</f>
        <v/>
      </c>
      <c r="HZ3" s="177" t="str">
        <f>IF(nomemp2="","",IF(productivitat1_2021="","",productivitat1_2021))</f>
        <v/>
      </c>
      <c r="IA3" s="177" t="str">
        <f>IF(nomemp2="","",IF(productivitat1_2022="","",productivitat1_2022))</f>
        <v/>
      </c>
      <c r="IB3" s="177" t="str">
        <f>IF(nomemp2="","",IF(productivitat1_2023="","",productivitat1_2023))</f>
        <v/>
      </c>
      <c r="IC3" s="177" t="str">
        <f>IF(nomemp2="","",IF(aigua2017="","",aigua2017))</f>
        <v/>
      </c>
      <c r="ID3" s="177" t="str">
        <f>IF(nomemp2="","",IF(aigua1_2017="","",aigua1_2017))</f>
        <v/>
      </c>
      <c r="IE3" s="177" t="str">
        <f>IF(nomemp2="","",IF(aigua1_2018="","",aigua1_2018))</f>
        <v/>
      </c>
      <c r="IF3" s="177" t="str">
        <f>IF(nomemp2="","",IF(aigua1_2019="","",aigua1_2019))</f>
        <v/>
      </c>
      <c r="IG3" s="177" t="str">
        <f>IF(nomemp2="","",IF(aigua1_2020="","",aigua1_2020))</f>
        <v/>
      </c>
      <c r="IH3" s="177" t="str">
        <f>IF(nomemp2="","",IF(aigua1_2021="","",aigua1_2021))</f>
        <v/>
      </c>
      <c r="II3" s="177" t="str">
        <f>IF(nomemp2="","",IF(aigua1_2022="","",aigua1_2022))</f>
        <v/>
      </c>
      <c r="IJ3" s="177" t="str">
        <f>IF(nomemp2="","",IF(aigua1_2023="","",aigua1_2023))</f>
        <v/>
      </c>
      <c r="IK3" s="177" t="str">
        <f>IF(nomemp2="","",IF(energia2017="","",energia2017))</f>
        <v/>
      </c>
      <c r="IL3" s="177" t="str">
        <f>IF(nomemp2="","",IF(energia1_2017="","",energia1_2017))</f>
        <v/>
      </c>
      <c r="IM3" s="177" t="str">
        <f>IF(nomemp2="","",IF(energia1_2018="","",energia1_2018))</f>
        <v/>
      </c>
      <c r="IN3" s="177" t="str">
        <f>IF(nomemp2="","",IF(energia1_2019="","",energia1_2019))</f>
        <v/>
      </c>
      <c r="IO3" s="177" t="str">
        <f>IF(nomemp2="","",IF(energia1_2020="","",energia1_2020))</f>
        <v/>
      </c>
      <c r="IP3" s="177" t="str">
        <f>IF(nomemp2="","",IF(energia1_2021="","",energia1_2021))</f>
        <v/>
      </c>
      <c r="IQ3" s="177" t="str">
        <f>IF(nomemp2="","",IF(energia1_2022="","",energia1_2022))</f>
        <v/>
      </c>
      <c r="IR3" s="177" t="str">
        <f>IF(nomemp2="","",IF(energia1_2023="","",energia1_2023))</f>
        <v/>
      </c>
      <c r="IS3" s="177" t="str">
        <f>IF(nomemp2="","",IF(emissions2017="","",emissions2017))</f>
        <v/>
      </c>
      <c r="IT3" s="177" t="str">
        <f>IF(nomemp2="","",IF(emissions1_2017="","",emissions1_2017))</f>
        <v/>
      </c>
      <c r="IU3" s="177" t="str">
        <f>IF(nomemp2="","",IF(emissions1_2018="","",emissions1_2018))</f>
        <v/>
      </c>
      <c r="IV3" s="177" t="str">
        <f>IF(nomemp2="","",IF(emissions1_2019="","",emissions1_2019))</f>
        <v/>
      </c>
      <c r="IW3" s="177" t="str">
        <f>IF(nomemp2="","",IF(emissions1_2020="","",emissions1_2020))</f>
        <v/>
      </c>
      <c r="IX3" s="177" t="str">
        <f>IF(nomemp2="","",IF(emissions1_2021="","",emissions1_2021))</f>
        <v/>
      </c>
      <c r="IY3" s="177" t="str">
        <f>IF(nomemp2="","",IF(emissions1_2022="","",emissions1_2022))</f>
        <v/>
      </c>
      <c r="IZ3" s="177" t="str">
        <f>IF(nomemp2="","",IF(emissions1_2023="","",emissions1_2023))</f>
        <v/>
      </c>
      <c r="JA3" s="177" t="str">
        <f>IF(nomemp2="","",IF(residus2017="","",residus2017))</f>
        <v/>
      </c>
      <c r="JB3" s="177" t="str">
        <f>IF(nomemp2="","",IF(residus1_2017="","",residus1_2017))</f>
        <v/>
      </c>
      <c r="JC3" s="177" t="str">
        <f>IF(nomemp2="","",IF(residus1_2018="","",residus1_2018))</f>
        <v/>
      </c>
      <c r="JD3" s="177" t="str">
        <f>IF(nomemp2="","",IF(residus1_2019="","",residus1_2019))</f>
        <v/>
      </c>
      <c r="JE3" s="177" t="str">
        <f>IF(nomemp2="","",IF(residus1_2020="","",residus1_2020))</f>
        <v/>
      </c>
      <c r="JF3" s="177" t="str">
        <f>IF(nomemp2="","",IF(residus1_2021="","",residus1_2021))</f>
        <v/>
      </c>
      <c r="JG3" s="177" t="str">
        <f>IF(nomemp2="","",IF(residus1_2022="","",residus1_2022))</f>
        <v/>
      </c>
      <c r="JH3" s="177" t="str">
        <f>IF(nomemp2="","",IF(residus1_2023="","",residus1_2023))</f>
        <v/>
      </c>
      <c r="JJ3" s="38"/>
      <c r="JK3" s="38"/>
      <c r="JL3" s="38"/>
    </row>
    <row r="4" spans="1:272" s="177" customFormat="1" x14ac:dyDescent="0.25">
      <c r="A4" s="177" t="str">
        <f>IF(nomemp3="","",codiexp1)</f>
        <v/>
      </c>
      <c r="B4" s="177" t="str">
        <f>UPPER(IF(nomemp3=" ", " ",nomemp3))</f>
        <v/>
      </c>
      <c r="C4" s="177" t="str">
        <f>UPPER(IF(nif_3= " ", " ", nif_3))</f>
        <v/>
      </c>
      <c r="D4" s="177" t="str">
        <f>IF(nomemp3="", "",UPPER(IF(codiparticipant2="","",codiparticipant2)))</f>
        <v/>
      </c>
      <c r="E4" s="177" t="str">
        <f>IF(nomemp3="", "",IF(ajudes2_2016="", "",ajudes2_2016))</f>
        <v/>
      </c>
      <c r="F4" s="177" t="str">
        <f>IF(nomemp3="", "",IF(ajudes2_2017="", "",ajudes2_2017))</f>
        <v/>
      </c>
      <c r="G4" s="177" t="str">
        <f>IF(nomemp3="", "",IF(ajudes2_2018="", "",ajudes2_2018))</f>
        <v/>
      </c>
      <c r="H4" s="177" t="str">
        <f>IF(nomemp3="", "",IF(ajudes2_2019="", "",ajudes2_2019))</f>
        <v/>
      </c>
      <c r="I4" s="177" t="str">
        <f>IF(nomemp3="", "",IF(ajudes2_2020="", "",ajudes2_2020))</f>
        <v/>
      </c>
      <c r="J4" s="177" t="str">
        <f>IF(nomemp3="", "",IF(ajudes2_2021="", "",ajudes2_2021))</f>
        <v/>
      </c>
      <c r="K4" s="177" t="str">
        <f>IF(nomemp3= "", "",IF(ajudes2_2022="", "",ajudes2_2022))</f>
        <v/>
      </c>
      <c r="L4" s="177" t="str">
        <f>IF(nomemp3="",  "",IF(ajudes2_2023="", "",ajudes2_2023))</f>
        <v/>
      </c>
      <c r="M4" s="177" t="str">
        <f>IF(nomemp3= " ", " ", IF(subvencions2_2016="","",subvencions2_2016))</f>
        <v/>
      </c>
      <c r="N4" s="177" t="str">
        <f>IF(nomemp3= " ", " ", IF(subvencions2_2017="","",subvencions2_2017))</f>
        <v/>
      </c>
      <c r="O4" s="177" t="str">
        <f>IF(nomemp3= " ", " ", IF(subvencions2_2018="","",subvencions2_2018))</f>
        <v/>
      </c>
      <c r="P4" s="177" t="str">
        <f>IF(nomemp3= " ", " ", IF(subvencions2_2019="","",subvencions2_2019))</f>
        <v/>
      </c>
      <c r="Q4" s="177" t="str">
        <f>IF(nomemp3= " ", " ", IF(subvencions2_2020="","",subvencions2_2020))</f>
        <v/>
      </c>
      <c r="R4" s="177" t="str">
        <f>IF(nomemp3= " ", " ", IF(subvencions2_2021="","",subvencions2_2021))</f>
        <v/>
      </c>
      <c r="S4" s="177" t="str">
        <f>IF(nomemp3= " ", " ", IF(subvencions2_2022="","",subvencions2_2022))</f>
        <v/>
      </c>
      <c r="T4" s="177" t="str">
        <f>IF(nomemp3= " ", " ", IF(subvencions2_2023="","",subvencions2_2023))</f>
        <v/>
      </c>
      <c r="U4" s="177" t="str">
        <f>IF(nomemp3= " ", "",IF(iprivadaipublica2_2016="","",iprivadaipublica2_2016))</f>
        <v/>
      </c>
      <c r="V4" s="177" t="str">
        <f>IF(nomemp3= " ", "",IF(iprivadaipublica2_2017="","",iprivadaipublica2_2017))</f>
        <v/>
      </c>
      <c r="W4" s="177" t="str">
        <f>IF(nomemp3= " ", "",IF(iprivadaipublica2_2018="","",iprivadaipublica2_2018))</f>
        <v/>
      </c>
      <c r="X4" s="177" t="str">
        <f>IF(nomemp3= " ", "",IF(iprivadaipublica2_2019="","",iprivadaipublica2_2019))</f>
        <v/>
      </c>
      <c r="Y4" s="177" t="str">
        <f>IF(nomemp3= " ", "",IF(iprivadaipublica2_2020="","",iprivadaipublica2_2020))</f>
        <v/>
      </c>
      <c r="Z4" s="177" t="str">
        <f>IF(nomemp3= " ", "",IF(iprivadaipublica2_2021="","",iprivadaipublica2_2021))</f>
        <v/>
      </c>
      <c r="AA4" s="177" t="str">
        <f>IF(nomemp3= " ", "",IF(iprivadaipublica2_2022="","",iprivadaipublica2_2022))</f>
        <v/>
      </c>
      <c r="AB4" s="177" t="str">
        <f>IF(nomemp3= " ", "",IF(iprivadaipublica2_2023="","",iprivadaipublica2_2023))</f>
        <v/>
      </c>
      <c r="AC4" s="177" t="str">
        <f>IF(nomemp3="","",IF(copera2_2016="","",copera2_2016))</f>
        <v/>
      </c>
      <c r="AD4" s="177" t="str">
        <f>IF(nomemp3="","",IF(copera2_2017="","",copera2_2017))</f>
        <v/>
      </c>
      <c r="AE4" s="177" t="str">
        <f>IF(nomemp3="","",IF(copera2_2018="","",copera2_2018))</f>
        <v/>
      </c>
      <c r="AF4" s="177" t="str">
        <f>IF(nomemp3="","",IF(copera2_2019="","",copera2_2019))</f>
        <v/>
      </c>
      <c r="AG4" s="177" t="str">
        <f>IF(nomemp3="","",IF(copera2_2020="","",copera2_2020))</f>
        <v/>
      </c>
      <c r="AH4" s="177" t="str">
        <f>IF(nomemp3="","",IF(copera2_2021="","",copera2_2021))</f>
        <v/>
      </c>
      <c r="AI4" s="177" t="str">
        <f>IF(nomemp3="","",IF(copera2_2022="","",copera2_2022))</f>
        <v/>
      </c>
      <c r="AJ4" s="177" t="str">
        <f>IF(nomemp3="","",IF(copera2_2023="","",copera2_2023))</f>
        <v/>
      </c>
      <c r="AK4" s="177" t="str">
        <f>IF(nomemp3="","",IF(investigadorshomes2_2016="","",investigadorshomes2_2016))</f>
        <v/>
      </c>
      <c r="AL4" s="177" t="str">
        <f>IF(nomemp3="","",IF(investigadorshomes2_2017="","",investigadorshomes2_2017))</f>
        <v/>
      </c>
      <c r="AM4" s="177" t="str">
        <f>IF(nomemp3="","",IF(investigadorshomes2_2018="","",investigadorshomes2_2018))</f>
        <v/>
      </c>
      <c r="AN4" s="177" t="str">
        <f>IF(nomemp3="","",IF(investigadorshomes2_2019="","",investigadorshomes2_2019))</f>
        <v/>
      </c>
      <c r="AO4" s="177" t="str">
        <f>IF(nomemp3="","",IF(investigadorshomes2_2020="","",investigadorshomes2_2020))</f>
        <v/>
      </c>
      <c r="AP4" s="177" t="str">
        <f>IF(nomemp3="","",IF(investigadorshomes2_2021="","",investigadorshomes2_2021))</f>
        <v/>
      </c>
      <c r="AQ4" s="177" t="str">
        <f>IF(nomemp3="","",IF(investigadorshomes2_2022="","",investigadorshomes2_2022))</f>
        <v/>
      </c>
      <c r="AR4" s="177" t="str">
        <f>IF(nomemp3="","",IF(investigadorshomes2_2023="","",investigadorshomes2_2023))</f>
        <v/>
      </c>
      <c r="AS4" s="177" t="str">
        <f>IF(nomemp3="","",IF(investigadorsdones2_2016= "","",investigadorsdones2_2016))</f>
        <v/>
      </c>
      <c r="AT4" s="177" t="str">
        <f>IF(nomemp3="","",IF(investigadorsdones2_2017= "","",investigadorsdones2_2017))</f>
        <v/>
      </c>
      <c r="AU4" s="177" t="str">
        <f>IF(nomemp3="","",IF(investigadorsdones2_2018= "","",investigadorsdones2_2018))</f>
        <v/>
      </c>
      <c r="AV4" s="177" t="str">
        <f>IF(nomemp3="","",IF(investigadorsdones2_2019= "","",investigadorsdones2_2019))</f>
        <v/>
      </c>
      <c r="AW4" s="177" t="str">
        <f>IF(nomemp3="","",IF(investigadorsdones2_2020= "","",investigadorsdones2_2020))</f>
        <v/>
      </c>
      <c r="AX4" s="177" t="str">
        <f>IF(nomemp3="","",IF(investigadorsdones2_2021= "","",investigadorsdones2_2021))</f>
        <v/>
      </c>
      <c r="AY4" s="177" t="str">
        <f>IF(nomemp3="","",IF(investigadorsdones2_2022= "","",investigadorsdones2_2022))</f>
        <v/>
      </c>
      <c r="AZ4" s="177" t="str">
        <f>IF(nomemp3="","",IF(investigadorsdones2_2023= "","",investigadorsdones2_2023))</f>
        <v/>
      </c>
      <c r="BA4" s="177" t="str">
        <f>IF(nomemp3=" ", " ",IF(investigadorstotal2_2016="","",investigadorstotal2_2016))</f>
        <v/>
      </c>
      <c r="BB4" s="177" t="str">
        <f>IF(nomemp3=" ", " ",IF(investigadorstotal2_2017="","",investigadorstotal2_2017))</f>
        <v/>
      </c>
      <c r="BC4" s="177" t="str">
        <f>IF(nomemp3=" ", " ",IF(investigadorstotal2_2018="","",investigadorstotal2_2018))</f>
        <v/>
      </c>
      <c r="BD4" s="177" t="str">
        <f>IF(nomemp3=" ", " ",IF(investigadorstotal2_2019="","",investigadorstotal2_2019))</f>
        <v/>
      </c>
      <c r="BE4" s="177" t="str">
        <f>IF(nomemp3=" ", " ",IF(investigadorstotal2_2020="","",investigadorstotal2_2020))</f>
        <v/>
      </c>
      <c r="BF4" s="177" t="str">
        <f>IF(nomemp3=" ", " ",IF(investigadorstotal2_2021="","",investigadorstotal2_2021))</f>
        <v/>
      </c>
      <c r="BG4" s="177" t="str">
        <f>IF(nomemp3=" ", " ",IF(investigadorstotal2_2022="","",investigadorstotal2_2022))</f>
        <v/>
      </c>
      <c r="BH4" s="177" t="str">
        <f>IF(nomemp3=" ", " ",IF(investigadorstotal2_2023="","",investigadorstotal2_2023))</f>
        <v/>
      </c>
      <c r="BI4" s="177" t="str">
        <f>IF(nomemp3=" ", " ",IF(certificacio2_2016="","",certificacio2_2016))</f>
        <v/>
      </c>
      <c r="BJ4" s="177" t="str">
        <f>IF(nomemp3=" ", " ",IF(certificacio2_2017="","",certificacio2_2017))</f>
        <v/>
      </c>
      <c r="BK4" s="177" t="str">
        <f>IF(nomemp3=" ", " ",IF(certificacio2_2018="","",certificacio2_2018))</f>
        <v/>
      </c>
      <c r="BL4" s="177" t="str">
        <f>IF(nomemp3=" "," ",IF(certificacio2_2019="","",certificacio2_2019))</f>
        <v/>
      </c>
      <c r="BM4" s="177" t="str">
        <f>IF(nomemp3=" ", " ",IF(certificacio2_2020="","",certificacio2_2020))</f>
        <v/>
      </c>
      <c r="BN4" s="177" t="str">
        <f>IF(nomemp3=" ", " ",IF(certificacio2_2021="","",certificacio2_2021))</f>
        <v/>
      </c>
      <c r="BO4" s="177" t="str">
        <f>IF(nomemp3=" ", " ",IF(certificacio2_2022="","",certificacio2_2022))</f>
        <v/>
      </c>
      <c r="BP4" s="177" t="str">
        <f>IF(nomemp3=" ", " ",IF(certificacio2_2023="","",certificacio2_2023))</f>
        <v/>
      </c>
      <c r="BQ4" s="177" t="str">
        <f>IF(nomemp3="","",IF(ipublica2_2016="","",ipublica2_2016))</f>
        <v/>
      </c>
      <c r="BR4" s="177" t="str">
        <f>IF(nomemp3="","",IF(ipublica2_2017="","",ipublica2_2017))</f>
        <v/>
      </c>
      <c r="BS4" s="177" t="str">
        <f>IF(nomemp3="","",IF(ipublica2_2018="","",ipublica2_2018))</f>
        <v/>
      </c>
      <c r="BT4" s="177" t="str">
        <f>IF(nomemp3="","",IF(ipublica2_2019="","",ipublica2_2019))</f>
        <v/>
      </c>
      <c r="BU4" s="177" t="str">
        <f>IF(nomemp3="","",IF(ipublica2_2020="","",ipublica2_2020))</f>
        <v/>
      </c>
      <c r="BV4" s="177" t="str">
        <f>IF(nomemp3="","",IF(ipublica2_2021="","",ipublica2_2021))</f>
        <v/>
      </c>
      <c r="BW4" s="177" t="str">
        <f>IF(nomemp3="","",IF(ipublica2_2022="","",ipublica2_2022))</f>
        <v/>
      </c>
      <c r="BX4" s="177" t="str">
        <f>IF(nomemp3="","",IF(ipublica2_2023="","",ipublica2_2023))</f>
        <v/>
      </c>
      <c r="BY4" s="177" t="str">
        <f>IF(nomemp3="","",IF(iprivada2_2016="","",iprivada2_2016))</f>
        <v/>
      </c>
      <c r="BZ4" s="177" t="str">
        <f>IF(nomemp3="","",IF(iprivada2_2017="","",iprivada2_2017))</f>
        <v/>
      </c>
      <c r="CA4" s="177" t="str">
        <f>IF(nomemp3="","",IF(iprivada2_2018="","",iprivada2_2018))</f>
        <v/>
      </c>
      <c r="CB4" s="177" t="str">
        <f>IF(nomemp3="","",IF(iprivada2_2019="","",iprivada2_2019))</f>
        <v/>
      </c>
      <c r="CC4" s="177" t="str">
        <f>IF(nomemp3="","",IF(iprivada2_2020="","",iprivada2_2020))</f>
        <v/>
      </c>
      <c r="CD4" s="177" t="str">
        <f>IF(nomemp3="","",IF(iprivada2_2021="","",iprivada2_2021))</f>
        <v/>
      </c>
      <c r="CE4" s="177" t="str">
        <f>IF(nomemp3="","",IF(iprivada2_2022="","",iprivada2_2022))</f>
        <v/>
      </c>
      <c r="CF4" s="177" t="str">
        <f>IF(nomemp3="","",IF(iprivada2_2023="","",iprivada2_2023))</f>
        <v/>
      </c>
      <c r="CG4" s="177" t="str">
        <f>IF(nomemp3="","",IF(investigadorstotalprojecte2_2016="","",investigadorstotalprojecte2_2016))</f>
        <v/>
      </c>
      <c r="CH4" s="177" t="str">
        <f>IF(nomemp3="","",IF(investigadorstotalprojecte2_2017="","",investigadorstotalprojecte2_2017))</f>
        <v/>
      </c>
      <c r="CI4" s="177" t="str">
        <f>IF(nomemp3="","",IF(investigadorstotalprojecte2_2018="","",investigadorstotalprojecte2_2018))</f>
        <v/>
      </c>
      <c r="CJ4" s="177" t="str">
        <f>IF(nomemp3="","",IF(investigadorstotalprojecte2_2019="","",investigadorstotalprojecte2_2019))</f>
        <v/>
      </c>
      <c r="CK4" s="177" t="str">
        <f>IF(nomemp3="","",IF(investigadorstotalprojecte2_2020="","",investigadorstotalprojecte2_2020))</f>
        <v/>
      </c>
      <c r="CL4" s="177" t="str">
        <f>IF(nomemp3="","",IF(investigadorstotalprojecte2_2021="","",investigadorstotalprojecte2_2021))</f>
        <v/>
      </c>
      <c r="CM4" s="177" t="str">
        <f>IF(nomemp3="","",IF(investigadorstotalprojecte2_2022="","",investigadorstotalprojecte2_2022))</f>
        <v/>
      </c>
      <c r="CN4" s="177" t="str">
        <f>IF(nomemp3="","",IF(investigadorstotalprojecte2_2023="","",investigadorstotalprojecte2_2023))</f>
        <v/>
      </c>
      <c r="CO4" s="177" t="str">
        <f>IF(nomemp3="","",IF(investigadorshomesprojecte2_2016="","",investigadorshomesprojecte2_2016))</f>
        <v/>
      </c>
      <c r="CP4" s="177" t="str">
        <f>IF(nomemp3="","",IF(investigadorshomesprojecte2_2017="","",investigadorshomesprojecte2_2017))</f>
        <v/>
      </c>
      <c r="CQ4" s="177" t="str">
        <f>IF(nomemp3="","",IF(investigadorshomesprojecte2_2018="","",investigadorshomesprojecte2_2018))</f>
        <v/>
      </c>
      <c r="CR4" s="177" t="str">
        <f>IF(nomemp3="","",IF(investigadorshomesprojecte2_2019="","",investigadorshomesprojecte2_2019))</f>
        <v/>
      </c>
      <c r="CS4" s="177" t="str">
        <f>IF(nomemp3="","",IF(investigadorshomesprojecte2_2020="","",investigadorshomesprojecte2_2020))</f>
        <v/>
      </c>
      <c r="CT4" s="177" t="str">
        <f>IF(nomemp3="","",IF(investigadorshomesprojecte2_2021="","",investigadorshomesprojecte2_2021))</f>
        <v/>
      </c>
      <c r="CU4" s="177" t="str">
        <f>IF(nomemp3="","",IF(investigadorshomesprojecte2_2022="","",investigadorshomesprojecte2_2022))</f>
        <v/>
      </c>
      <c r="CV4" s="177" t="str">
        <f>IF(nomemp3="","",IF(investigadorshomesprojecte2_2023="","",investigadorshomesprojecte2_2023))</f>
        <v/>
      </c>
      <c r="CW4" s="177" t="str">
        <f>IF(nomemp3="","",IF(investigadorsdonesprojecte2_2016="","",investigadorsdonesprojecte2_2016))</f>
        <v/>
      </c>
      <c r="CX4" s="177" t="str">
        <f>IF(nomemp3="","",IF(investigadorsdonesprojecte2_2017="","",investigadorsdonesprojecte2_2017))</f>
        <v/>
      </c>
      <c r="CY4" s="177" t="str">
        <f>IF(nomemp3="","",IF(investigadorsdonesprojecte2_2018="","",investigadorsdonesprojecte2_2018))</f>
        <v/>
      </c>
      <c r="CZ4" s="177" t="str">
        <f>IF(nomemp3="","",IF(investigadorsdonesprojecte2_2019="","",investigadorsdonesprojecte2_2019))</f>
        <v/>
      </c>
      <c r="DA4" s="177" t="str">
        <f>IF(nomemp3="","",IF(investigadorsdonesprojecte2_2020="","",investigadorsdonesprojecte2_2020))</f>
        <v/>
      </c>
      <c r="DB4" s="177" t="str">
        <f>IF(nomemp3="","",IF(investigadorsdonesprojecte2_2021="","",investigadorsdonesprojecte2_2021))</f>
        <v/>
      </c>
      <c r="DC4" s="177" t="str">
        <f>IF(nomemp3="","",IF(investigadorsdonesprojecte2_2022="","",investigadorsdonesprojecte2_2022))</f>
        <v/>
      </c>
      <c r="DD4" s="177" t="str">
        <f>IF(nomemp3="","",IF(investigadorsdonesprojecte2_2023="","",investigadorsdonesprojecte2_2023))</f>
        <v/>
      </c>
      <c r="DE4" s="177" t="str">
        <f>IF(nomemp3="","",IF(empresesprivades2_2017="","",empresesprivades2_2017))</f>
        <v/>
      </c>
      <c r="DF4" s="177" t="str">
        <f>IF(nomemp3="","",IF(empresesprivades2_2017="","",empresesprivades2_2017))</f>
        <v/>
      </c>
      <c r="DG4" s="177" t="str">
        <f>IF(nomemp3="","",IF(empresesprivades2_2018="","",empresesprivades2_2018))</f>
        <v/>
      </c>
      <c r="DH4" s="177" t="str">
        <f>IF(nomemp3="","",IF(empresesprivades2_2019="","",empresesprivades2_2019))</f>
        <v/>
      </c>
      <c r="DI4" s="177" t="str">
        <f>IF(nomemp3="","",IF(empresesprivades2_2020="","",empresesprivades2_2020))</f>
        <v/>
      </c>
      <c r="DJ4" s="177" t="str">
        <f>IF(nomemp3="","",IF(empresesprivades2_2021="","",empresesprivades2_2021))</f>
        <v/>
      </c>
      <c r="DK4" s="177" t="str">
        <f>IF(nomemp3="","",IF(empresesprivades2_2022="","",empresesprivades2_2022))</f>
        <v/>
      </c>
      <c r="DL4" s="177" t="str">
        <f>IF(nomemp3="","",IF(empresesprivades2_2023="","",empresesprivades2_2023))</f>
        <v/>
      </c>
      <c r="DM4" s="177" t="str">
        <f>IF(nomemp3="","",IF(empresespubliques2_2017="","",empresespubliques2_2017))</f>
        <v/>
      </c>
      <c r="DN4" s="177" t="str">
        <f>IF(nomemp3="","",IF(empresespubliques2_2017="","",empresespubliques2_2017))</f>
        <v/>
      </c>
      <c r="DO4" s="177" t="str">
        <f>IF(nomemp3="","",IF(empresespubliques2_2018="","",empresespubliques2_2018))</f>
        <v/>
      </c>
      <c r="DP4" s="177" t="str">
        <f>IF(nomemp3="","",IF(empresespubliques2_2019="","",empresespubliques2_2019))</f>
        <v/>
      </c>
      <c r="DQ4" s="177" t="str">
        <f>IF(nomemp3="","",IF(empresespubliques2_2020="","",empresespubliques2_2020))</f>
        <v/>
      </c>
      <c r="DR4" s="177" t="str">
        <f>IF(nomemp3="","",IF(empresespubliques2_2021="","",empresespubliques2_2021))</f>
        <v/>
      </c>
      <c r="DS4" s="177" t="str">
        <f>IF(nomemp3="","",IF(empresespubliques2_2022="","",empresespubliques2_2022))</f>
        <v/>
      </c>
      <c r="DT4" s="177" t="str">
        <f>IF(nomemp3="","",IF(empresespubliques2_2023="","",empresespubliques2_2023))</f>
        <v/>
      </c>
      <c r="DU4" s="177" t="str">
        <f>IF(nomemp3="","",IF(centrestecnologics2_2017="","",centrestecnologics2_2017))</f>
        <v/>
      </c>
      <c r="DV4" s="177" t="str">
        <f>IF(nomemp3="","",IF(centrestecnologics2_2017="","",centrestecnologics2_2017))</f>
        <v/>
      </c>
      <c r="DW4" s="177" t="str">
        <f>IF(nomemp3="","",IF(centrestecnologics2_2018="","",centrestecnologics2_2018))</f>
        <v/>
      </c>
      <c r="DX4" s="177" t="str">
        <f>IF(nomemp3="","",IF(centrestecnologics2_2019="","",centrestecnologics2_2019))</f>
        <v/>
      </c>
      <c r="DY4" s="177" t="str">
        <f>IF(nomemp3="","",IF(centrestecnologics2_2020="","",centrestecnologics2_2020))</f>
        <v/>
      </c>
      <c r="DZ4" s="177" t="str">
        <f>IF(nomemp3="","",IF(centrestecnologics2_2021="","",centrestecnologics2_2021))</f>
        <v/>
      </c>
      <c r="EA4" s="177" t="str">
        <f>IF(nomemp3="","",IF(centrestecnologics2_2022="","",centrestecnologics2_2022))</f>
        <v/>
      </c>
      <c r="EB4" s="177" t="str">
        <f>IF(nomemp3="","",IF(centrestecnologics2_2023="","",centrestecnologics2_2023))</f>
        <v/>
      </c>
      <c r="EC4" s="177" t="str">
        <f>IF(nomemp3="","",IF(universitats2_2017="","",universitats2_2017))</f>
        <v/>
      </c>
      <c r="ED4" s="177" t="str">
        <f>IF(nomemp3="","",IF(universitats2_2017="","",universitats2_2017))</f>
        <v/>
      </c>
      <c r="EE4" s="177" t="str">
        <f>IF(nomemp3="","",IF(universitats2_2018="","",universitats2_2018))</f>
        <v/>
      </c>
      <c r="EF4" s="177" t="str">
        <f>IF(nomemp3="","",IF(universitats2_2019="","",universitats2_2019))</f>
        <v/>
      </c>
      <c r="EG4" s="177" t="str">
        <f>IF(nomemp3="","",IF(universitats2_2020="","",universitats2_2020))</f>
        <v/>
      </c>
      <c r="EH4" s="177" t="str">
        <f>IF(nomemp3="","",IF(universitats2_2021="","",universitats2_2021))</f>
        <v/>
      </c>
      <c r="EI4" s="177" t="str">
        <f>IF(nomemp3="","",IF(universitats2_2022="","",universitats2_2022))</f>
        <v/>
      </c>
      <c r="EJ4" s="177" t="str">
        <f>IF(nomemp3="","",IF(universitats2_2023="","",universitats2_2023))</f>
        <v/>
      </c>
      <c r="EK4" s="177" t="str">
        <f>IF(nomemp3="","",IF(centresrecerca2_2017="","",centresrecerca2_2017))</f>
        <v/>
      </c>
      <c r="EL4" s="177" t="str">
        <f>IF(nomemp3="","",IF(centresrecerca2_2017="","",centresrecerca2_2017))</f>
        <v/>
      </c>
      <c r="EM4" s="177" t="str">
        <f>IF(nomemp3="","",IF(centresrecerca2_2018="","",centresrecerca2_2018))</f>
        <v/>
      </c>
      <c r="EN4" s="177" t="str">
        <f>IF(nomemp3="","",IF(centresrecerca2_2019="","",centresrecerca2_2019))</f>
        <v/>
      </c>
      <c r="EO4" s="177" t="str">
        <f>IF(nomemp3="","",IF(centresrecerca2_2020="","",centresrecerca2_2020))</f>
        <v/>
      </c>
      <c r="EP4" s="177" t="str">
        <f>IF(nomemp3="","",IF(centresrecerca2_2021="","",centresrecerca2_2021))</f>
        <v/>
      </c>
      <c r="EQ4" s="177" t="str">
        <f>IF(nomemp3="","",IF(centresrecerca2_2022="","",centresrecerca2_2022))</f>
        <v/>
      </c>
      <c r="ER4" s="177" t="str">
        <f>IF(nomemp3="","",IF(centresrecerca2_2023="","",centresrecerca2_2023))</f>
        <v/>
      </c>
      <c r="ES4" s="177" t="str">
        <f>IF(nomemp3="","",IF(infraestructures2_2017="","",infraestructures2_2017))</f>
        <v/>
      </c>
      <c r="ET4" s="177" t="str">
        <f>IF(nomemp3="","",IF(infraestructures2_2017="","",infraestructures2_2017))</f>
        <v/>
      </c>
      <c r="EU4" s="177" t="str">
        <f>IF(nomemp3="","",IF(infraestructures2_2018="","",infraestructures2_2018))</f>
        <v/>
      </c>
      <c r="EV4" s="177" t="str">
        <f>IF(nomemp3="","",IF(infraestructures2_2019="","",infraestructures2_2019))</f>
        <v/>
      </c>
      <c r="EW4" s="177" t="str">
        <f>IF(nomemp3="","",IF(infraestructures2_2020="","",infraestructures2_2020))</f>
        <v/>
      </c>
      <c r="EX4" s="177" t="str">
        <f>IF(nomemp3="","",IF(infraestructures2_2021="","",infraestructures2_2021))</f>
        <v/>
      </c>
      <c r="EY4" s="177" t="str">
        <f>IF(nomemp3="","",IF(infraestructures2_2022="","",infraestructures2_2022))</f>
        <v/>
      </c>
      <c r="EZ4" s="177" t="str">
        <f>IF(nomemp3="","",IF(infraestructures2_2023="","",infraestructures2_2023))</f>
        <v/>
      </c>
      <c r="FA4" s="177" t="str">
        <f>IF(nomemp3="","",IF(spinoff2_2017="","",spinoff2_2017))</f>
        <v/>
      </c>
      <c r="FB4" s="177" t="str">
        <f>IF(nomemp3="","",IF(spinoff2_2017="","",spinoff2_2017))</f>
        <v/>
      </c>
      <c r="FC4" s="177" t="str">
        <f>IF(nomemp3="","",IF(spinoff2_2018="","",spinoff2_2018))</f>
        <v/>
      </c>
      <c r="FD4" s="177" t="str">
        <f>IF(nomemp3="","",IF(spinoff2_2019="","",spinoff2_2019))</f>
        <v/>
      </c>
      <c r="FE4" s="177" t="str">
        <f>IF(nomemp3="","",IF(spinoff2_2020="","",spinoff2_2020))</f>
        <v/>
      </c>
      <c r="FF4" s="177" t="str">
        <f>IF(nomemp3="","",IF(spinoff2_2021="","",spinoff2_2021))</f>
        <v/>
      </c>
      <c r="FG4" s="177" t="str">
        <f>IF(nomemp3="","",IF(spinoff2_2022="","",spinoff2_2022))</f>
        <v/>
      </c>
      <c r="FH4" s="177" t="str">
        <f>IF(nomemp3="","",IF(spinoff2_2023="","",spinoff2_2023))</f>
        <v/>
      </c>
      <c r="FI4" s="177" t="str">
        <f>IF(nomemp3="","",IF(patents2_2017="","",patents2_2017))</f>
        <v/>
      </c>
      <c r="FJ4" s="177" t="str">
        <f>IF(nomemp3="","",IF(patents2_2017="","",patents2_2017))</f>
        <v/>
      </c>
      <c r="FK4" s="177" t="str">
        <f>IF(nomemp3="","",IF(patents2_2018="","",patents2_2018))</f>
        <v/>
      </c>
      <c r="FL4" s="177" t="str">
        <f>IF(nomemp3="","",IF(patents2_2019="","",patents2_2019))</f>
        <v/>
      </c>
      <c r="FM4" s="177" t="str">
        <f>IF(nomemp3="","",IF(patents2_2020="","",patents2_2020))</f>
        <v/>
      </c>
      <c r="FN4" s="177" t="str">
        <f>IF(nomemp3="","",IF(patents2_2021="","",patents2_2021))</f>
        <v/>
      </c>
      <c r="FO4" s="177" t="str">
        <f>IF(nomemp3="","",IF(patents2_2022="","",patents2_2022))</f>
        <v/>
      </c>
      <c r="FP4" s="177" t="str">
        <f>IF(nomemp3="","",IF(patents2_2023="","",patents2_2023))</f>
        <v/>
      </c>
      <c r="FQ4" s="177" t="str">
        <f>IF(nomemp3="","",IF(marques2_2017="","",marques2_2017))</f>
        <v/>
      </c>
      <c r="FR4" s="177" t="str">
        <f>IF(nomemp3="","",IF(marques2_2017="","",marques2_2017))</f>
        <v/>
      </c>
      <c r="FS4" s="177" t="str">
        <f>IF(nomemp3="","",IF(marques2_2018="","",marques2_2018))</f>
        <v/>
      </c>
      <c r="FT4" s="177" t="str">
        <f>IF(nomemp3="","",IF(marques2_2019="","",marques2_2019))</f>
        <v/>
      </c>
      <c r="FU4" s="177" t="str">
        <f>IF(nomemp3="","",IF(marques2_2020="","",marques2_2020))</f>
        <v/>
      </c>
      <c r="FV4" s="177" t="str">
        <f>IF(nomemp3="","",IF(marques2_2021="","",marques2_2021))</f>
        <v/>
      </c>
      <c r="FW4" s="177" t="str">
        <f>IF(nomemp3="","",IF(marques2_2022="","",marques2_2022))</f>
        <v/>
      </c>
      <c r="FX4" s="177" t="str">
        <f>IF(nomemp3="","",IF(marques2_2023="","",marques2_2023))</f>
        <v/>
      </c>
      <c r="FY4" s="177" t="str">
        <f>IF(nomemp3="","",IF(innoven2_2017="","",innoven2_2017))</f>
        <v/>
      </c>
      <c r="FZ4" s="177" t="str">
        <f>IF(nomemp3="","",IF(innoven2_2017="","",innoven2_2017))</f>
        <v/>
      </c>
      <c r="GA4" s="177" t="str">
        <f>IF(nomemp3="","",IF(innoven2_2018="","",innoven2_2018))</f>
        <v/>
      </c>
      <c r="GB4" s="177" t="str">
        <f>IF(nomemp3="","",IF(innoven2_2019="","",innoven2_2019))</f>
        <v/>
      </c>
      <c r="GC4" s="177" t="str">
        <f>IF(nomemp3="","",IF(innoven2_2020="","",innoven2_2020))</f>
        <v/>
      </c>
      <c r="GD4" s="177" t="str">
        <f>IF(nomemp3="","",IF(innoven2_2021="","",innoven2_2021))</f>
        <v/>
      </c>
      <c r="GE4" s="177" t="str">
        <f>IF(nomemp3="","",IF(innoven2_2022="","",innoven2_2022))</f>
        <v/>
      </c>
      <c r="GF4" s="177" t="str">
        <f>IF(nomemp3="","",IF(innoven2_2023="","",innoven2_2023))</f>
        <v/>
      </c>
      <c r="GG4" s="177" t="str">
        <f>IF(nomemp3="","",IF(llocsdetreball2_2017="","",llocsdetreball2_2017))</f>
        <v/>
      </c>
      <c r="GH4" s="177" t="str">
        <f>IF(nomemp3="","",IF(llocsdetreball2_2017="","",llocsdetreball2_2017))</f>
        <v/>
      </c>
      <c r="GI4" s="177" t="str">
        <f>IF(nomemp3="","",IF(llocsdetreball2_2018="","",llocsdetreball2_2018))</f>
        <v/>
      </c>
      <c r="GJ4" s="177" t="str">
        <f>IF(nomemp3="","",IF(llocsdetreball2_2019="","",llocsdetreball2_2019))</f>
        <v/>
      </c>
      <c r="GK4" s="177" t="str">
        <f>IF(nomemp3="","",IF(llocsdetreball2_2020="","",llocsdetreball2_2020))</f>
        <v/>
      </c>
      <c r="GL4" s="177" t="str">
        <f>IF(nomemp3="","",IF(llocsdetreball2_2021="","",llocsdetreball2_2021))</f>
        <v/>
      </c>
      <c r="GM4" s="177" t="str">
        <f>IF(nomemp3="","",IF(llocsdetreball2_2022="","",llocsdetreball2_2022))</f>
        <v/>
      </c>
      <c r="GN4" s="177" t="str">
        <f>IF(nomemp3="","",IF(llocsdetreball2_2023="","",llocsdetreball2_2023))</f>
        <v/>
      </c>
      <c r="GO4" s="177" t="str">
        <f>IF(nomemp3="","",IF(formacio2_2017="","",formacio2_2017))</f>
        <v/>
      </c>
      <c r="GP4" s="177" t="str">
        <f>IF(nomemp3="","",IF(formacio2_2017="","",formacio2_2017))</f>
        <v/>
      </c>
      <c r="GQ4" s="177" t="str">
        <f>IF(nomemp3="","",IF(formacio2_2018="","",formacio2_2018))</f>
        <v/>
      </c>
      <c r="GR4" s="177" t="str">
        <f>IF(nomemp3="","",IF(formacio2_2019="","",formacio2_2019))</f>
        <v/>
      </c>
      <c r="GS4" s="177" t="str">
        <f>IF(nomemp3="","",IF(formacio2_2020="","",formacio2_2020))</f>
        <v/>
      </c>
      <c r="GT4" s="177" t="str">
        <f>IF(nomemp3="","",IF(formacio2_2021="","",formacio2_2021))</f>
        <v/>
      </c>
      <c r="GU4" s="177" t="str">
        <f>IF(nomemp3="","",IF(formacio2_2022="","",formacio2_2022))</f>
        <v/>
      </c>
      <c r="GV4" s="177" t="str">
        <f>IF(nomemp3="","",IF(formacio2_2023="","",formacio2_2023))</f>
        <v/>
      </c>
      <c r="GW4" s="177" t="str">
        <f>IF(nomemp3="","",IF(ingressos2_2017="","",ingressos2_2017))</f>
        <v/>
      </c>
      <c r="GX4" s="177" t="str">
        <f>IF(nomemp3="","",IF(ingressos2_2017="","",ingressos2_2017))</f>
        <v/>
      </c>
      <c r="GY4" s="177" t="str">
        <f>IF(nomemp3="","",IF(ingressos2_2018="","",ingressos2_2018))</f>
        <v/>
      </c>
      <c r="GZ4" s="177" t="str">
        <f>IF(nomemp3="","",IF(ingressos2_2019="","",ingressos2_2019))</f>
        <v/>
      </c>
      <c r="HA4" s="177" t="str">
        <f>IF(nomemp3="","",IF(ingressos2_2020="","",ingressos2_2020))</f>
        <v/>
      </c>
      <c r="HB4" s="177" t="str">
        <f>IF(nomemp3="","",IF(ingressos2_2021="","",ingressos2_2021))</f>
        <v/>
      </c>
      <c r="HC4" s="177" t="str">
        <f>IF(nomemp3="","",IF(ingressos2_2022="","",ingressos2_2022))</f>
        <v/>
      </c>
      <c r="HD4" s="177" t="str">
        <f>IF(nomemp3="","",IF(ingressos2_2023="","",ingressos2_2023))</f>
        <v/>
      </c>
      <c r="HE4" s="177" t="str">
        <f>IF(nomemp3="","",IF(exportacions2_2017="","",exportacions2_2017))</f>
        <v/>
      </c>
      <c r="HF4" s="177" t="str">
        <f>IF(nomemp3="","",IF(exportacions2_2017="","",exportacions2_2017))</f>
        <v/>
      </c>
      <c r="HG4" s="177" t="str">
        <f>IF(nomemp3="","",IF(exportacions2_2018="","",exportacions2_2018))</f>
        <v/>
      </c>
      <c r="HH4" s="177" t="str">
        <f>IF(nomemp3="","",IF(exportacions2_2019="","",exportacions2_2019))</f>
        <v/>
      </c>
      <c r="HI4" s="177" t="str">
        <f>IF(nomemp3="","",IF(exportacions2_2020="","",exportacions2_2020))</f>
        <v/>
      </c>
      <c r="HJ4" s="177" t="str">
        <f>IF(nomemp3="","",IF(exportacions2_2021="","",exportacions2_2021))</f>
        <v/>
      </c>
      <c r="HK4" s="177" t="str">
        <f>IF(nomemp3="","",IF(exportacions2_2022="","",exportacions2_2022))</f>
        <v/>
      </c>
      <c r="HL4" s="177" t="str">
        <f>IF(nomemp3="","",IF(exportacions2_2023="","",exportacions2_2023))</f>
        <v/>
      </c>
      <c r="HM4" s="177" t="str">
        <f>IF(nomemp3="","",IF(oportunitats2_2017="","",oportunitats2_2017))</f>
        <v/>
      </c>
      <c r="HN4" s="177" t="str">
        <f>IF(nomemp3="","",IF(oportunitats2_2017="","",oportunitats2_2017))</f>
        <v/>
      </c>
      <c r="HO4" s="177" t="str">
        <f>IF(nomemp3="","",IF(oportunitats2_2018="","",oportunitats2_2018))</f>
        <v/>
      </c>
      <c r="HP4" s="177" t="str">
        <f>IF(nomemp3="","",IF(oportunitats2_2019="","",oportunitats2_2019))</f>
        <v/>
      </c>
      <c r="HQ4" s="177" t="str">
        <f>IF(nomemp3="","",IF(oportunitats2_2020="","",oportunitats2_2020))</f>
        <v/>
      </c>
      <c r="HR4" s="177" t="str">
        <f>IF(nomemp3="","",IF(oportunitats2_2021="","",oportunitats2_2021))</f>
        <v/>
      </c>
      <c r="HS4" s="177" t="str">
        <f>IF(nomemp3="","",IF(oportunitats2_2022="","",oportunitats2_2022))</f>
        <v/>
      </c>
      <c r="HT4" s="177" t="str">
        <f>IF(nomemp3="","",IF(oportunitats2_2023="","",oportunitats2_2023))</f>
        <v/>
      </c>
      <c r="HU4" s="177" t="str">
        <f>IF(nomemp3="","",IF(productivitat2_2017="","",productivitat2_2017))</f>
        <v/>
      </c>
      <c r="HV4" s="177" t="str">
        <f>IF(nomemp3="","",IF(productivitat2_2017="","",productivitat2_2017))</f>
        <v/>
      </c>
      <c r="HW4" s="177" t="str">
        <f>IF(nomemp3="","",IF(productivitat2_2018="","",productivitat2_2018))</f>
        <v/>
      </c>
      <c r="HX4" s="177" t="str">
        <f>IF(nomemp3="","",IF(productivitat2_2019="","",productivitat2_2019))</f>
        <v/>
      </c>
      <c r="HY4" s="177" t="str">
        <f>IF(nomemp3="","",IF(productivitat2_2020="","",productivitat2_2020))</f>
        <v/>
      </c>
      <c r="HZ4" s="177" t="str">
        <f>IF(nomemp3="","",IF(productivitat2_2021="","",productivitat2_2021))</f>
        <v/>
      </c>
      <c r="IA4" s="177" t="str">
        <f>IF(nomemp3="","",IF(productivitat2_2022="","",productivitat2_2022))</f>
        <v/>
      </c>
      <c r="IB4" s="177" t="str">
        <f>IF(nomemp3="","",IF(productivitat2_2023="","",productivitat2_2023))</f>
        <v/>
      </c>
      <c r="IC4" s="177" t="str">
        <f>IF(nomemp3="","",IF(aigua2_2017="","",aigua2_2017))</f>
        <v/>
      </c>
      <c r="ID4" s="177" t="str">
        <f>IF(nomemp3="","",IF(aigua2_2017="","",aigua2_2017))</f>
        <v/>
      </c>
      <c r="IE4" s="177" t="str">
        <f>IF(nomemp3="","",IF(aigua2_2018="","",aigua2_2018))</f>
        <v/>
      </c>
      <c r="IF4" s="177" t="str">
        <f>IF(nomemp3="","",IF(aigua2_2019="","",aigua2_2019))</f>
        <v/>
      </c>
      <c r="IG4" s="177" t="str">
        <f>IF(nomemp3="","",IF(aigua2_2020="","",aigua2_2020))</f>
        <v/>
      </c>
      <c r="IH4" s="177" t="str">
        <f>IF(nomemp3="","",IF(aigua2_2021="","",aigua2_2021))</f>
        <v/>
      </c>
      <c r="II4" s="177" t="str">
        <f>IF(nomemp3="","",IF(aigua2_2022="","",aigua2_2022))</f>
        <v/>
      </c>
      <c r="IJ4" s="177" t="str">
        <f>IF(nomemp3="","",IF(aigua2_2023="","",aigua2_2023))</f>
        <v/>
      </c>
      <c r="IK4" s="177" t="str">
        <f>IF(nomemp3="","",IF(energia2_2017="","",energia2_2017))</f>
        <v/>
      </c>
      <c r="IL4" s="177" t="str">
        <f>IF(nomemp3="","",IF(energia2_2017="","",energia2_2017))</f>
        <v/>
      </c>
      <c r="IM4" s="177" t="str">
        <f>IF(nomemp3="","",IF(energia2_2018="","",energia2_2018))</f>
        <v/>
      </c>
      <c r="IN4" s="177" t="str">
        <f>IF(nomemp3="","",IF(energia2_2019="","",energia2_2019))</f>
        <v/>
      </c>
      <c r="IO4" s="177" t="str">
        <f>IF(nomemp3="","",IF(energia2_2020="","",energia2_2020))</f>
        <v/>
      </c>
      <c r="IP4" s="177" t="str">
        <f>IF(nomemp3="","",IF(energia2_2021="","",energia2_2021))</f>
        <v/>
      </c>
      <c r="IQ4" s="177" t="str">
        <f>IF(nomemp3="","",IF(energia2_2022="","",energia2_2022))</f>
        <v/>
      </c>
      <c r="IR4" s="177" t="str">
        <f>IF(nomemp3="","",IF(energia2_2023="","",energia2_2023))</f>
        <v/>
      </c>
      <c r="IS4" s="177" t="str">
        <f>IF(nomemp3="","",IF(emissions2_2017="","",emissions2_2017))</f>
        <v/>
      </c>
      <c r="IT4" s="177" t="str">
        <f>IF(nomemp3="","",IF(emissions2_2017="","",emissions2_2017))</f>
        <v/>
      </c>
      <c r="IU4" s="177" t="str">
        <f>IF(nomemp3="","",IF(emissions2_2018="","",emissions2_2018))</f>
        <v/>
      </c>
      <c r="IV4" s="177" t="str">
        <f>IF(nomemp3="","",IF(emissions2_2019="","",emissions2_2019))</f>
        <v/>
      </c>
      <c r="IW4" s="177" t="str">
        <f>IF(nomemp3="","",IF(emissions2_2020="","",emissions2_2020))</f>
        <v/>
      </c>
      <c r="IX4" s="177" t="str">
        <f>IF(nomemp3="","",IF(emissions2_2021="","",emissions2_2021))</f>
        <v/>
      </c>
      <c r="IY4" s="177" t="str">
        <f>IF(nomemp3="","",IF(emissions2_2022="","",emissions2_2022))</f>
        <v/>
      </c>
      <c r="IZ4" s="177" t="str">
        <f>IF(nomemp3="","",IF(emissions2_2023="","",emissions2_2023))</f>
        <v/>
      </c>
      <c r="JA4" s="177" t="str">
        <f>IF(nomemp3="","",IF(residus2_2017="","",residus2_2017))</f>
        <v/>
      </c>
      <c r="JB4" s="177" t="str">
        <f>IF(nomemp3="","",IF(residus2_2017="","",residus2_2017))</f>
        <v/>
      </c>
      <c r="JC4" s="177" t="str">
        <f>IF(nomemp3="","",IF(residus2_2018="","",residus2_2018))</f>
        <v/>
      </c>
      <c r="JD4" s="177" t="str">
        <f>IF(nomemp3="","",IF(residus2_2019="","",residus2_2019))</f>
        <v/>
      </c>
      <c r="JE4" s="177" t="str">
        <f>IF(nomemp3="","",IF(residus2_2020="","",residus2_2020))</f>
        <v/>
      </c>
      <c r="JF4" s="177" t="str">
        <f>IF(nomemp3="","",IF(residus2_2021="","",residus2_2021))</f>
        <v/>
      </c>
      <c r="JG4" s="177" t="str">
        <f>IF(nomemp3="","",IF(residus2_2022="","",residus2_2022))</f>
        <v/>
      </c>
      <c r="JH4" s="177" t="str">
        <f>IF(nomemp3="","",IF(residus2_2023="","",residus2_2023))</f>
        <v/>
      </c>
      <c r="JJ4" s="38"/>
      <c r="JK4" s="38"/>
      <c r="JL4" s="38"/>
    </row>
    <row r="5" spans="1:272" s="177" customFormat="1" x14ac:dyDescent="0.25">
      <c r="A5" s="177" t="str">
        <f>IF(nomemp4="","",codiexp1)</f>
        <v/>
      </c>
      <c r="B5" s="177" t="str">
        <f>UPPER(IF(nomemp4=" ", " ",nomemp4))</f>
        <v/>
      </c>
      <c r="C5" s="177" t="str">
        <f>UPPER(IF(nif_4= " ", " ", nif_4))</f>
        <v/>
      </c>
      <c r="D5" s="177" t="str">
        <f>IF(nomemp4="", "",UPPER(IF(codiparticipant3="","",codiparticipant3)))</f>
        <v/>
      </c>
      <c r="E5" s="177" t="str">
        <f>IF(nomemp4="", "",IF(ajudes3_2016="", "",ajudes3_2016))</f>
        <v/>
      </c>
      <c r="F5" s="177" t="str">
        <f>IF(nomemp4="", "",IF(ajudes3_2017="", "",ajudes3_2017))</f>
        <v/>
      </c>
      <c r="G5" s="177" t="str">
        <f>IF(nomemp4="", "",IF(ajudes3_2018="", "",ajudes3_2018))</f>
        <v/>
      </c>
      <c r="H5" s="177" t="str">
        <f>IF(nomemp4="", "",IF(ajudes3_2019="", "",ajudes3_2019))</f>
        <v/>
      </c>
      <c r="I5" s="177" t="str">
        <f>IF(nomemp4="", "",IF(ajudes3_2020="", "",ajudes3_2020))</f>
        <v/>
      </c>
      <c r="J5" s="177" t="str">
        <f>IF(nomemp4="", "",IF(ajudes3_2021="", "",ajudes3_2021))</f>
        <v/>
      </c>
      <c r="K5" s="177" t="str">
        <f>IF(nomemp4="", "",IF(ajudes3_2022="", "",ajudes3_2022))</f>
        <v/>
      </c>
      <c r="L5" s="177" t="str">
        <f>IF(nomemp4="", "",IF(ajudes3_2023="", "",ajudes3_2023))</f>
        <v/>
      </c>
      <c r="M5" s="177" t="str">
        <f>IF(nomemp4= " ", " ", IF(subvencions3_2016="","",subvencions3_2016))</f>
        <v/>
      </c>
      <c r="N5" s="177" t="str">
        <f>IF(nomemp4= " ", " ", IF(subvencions3_2017="","",subvencions3_2017))</f>
        <v/>
      </c>
      <c r="O5" s="177" t="str">
        <f>IF(nomemp4= " ", " ", IF(subvencions3_2018="","",subvencions3_2018))</f>
        <v/>
      </c>
      <c r="P5" s="177" t="str">
        <f>IF(nomemp4= " ", " ", IF(subvencions3_2019="","",subvencions3_2019))</f>
        <v/>
      </c>
      <c r="Q5" s="177" t="str">
        <f>IF(nomemp4= " ", " ", IF(subvencions3_2020="","",subvencions3_2020))</f>
        <v/>
      </c>
      <c r="R5" s="177" t="str">
        <f>IF(nomemp4= " ", " ", IF(subvencions3_2021="","",subvencions3_2021))</f>
        <v/>
      </c>
      <c r="S5" s="177" t="str">
        <f>IF(nomemp4= " ", " ", IF(subvencions3_2022="","",subvencions3_2022))</f>
        <v/>
      </c>
      <c r="T5" s="177" t="str">
        <f>IF(nomemp4= " ", " ", IF(subvencions3_2023="","",subvencions3_2023))</f>
        <v/>
      </c>
      <c r="U5" s="177" t="str">
        <f>IF(nomemp4= " ", "",IF(iprivadaipublica3_2016="","",iprivadaipublica3_2016))</f>
        <v/>
      </c>
      <c r="V5" s="177" t="str">
        <f>IF(nomemp4= " ", "",IF(iprivadaipublica3_2017="","",iprivadaipublica3_2017))</f>
        <v/>
      </c>
      <c r="W5" s="177" t="str">
        <f>IF(nomemp4= " ", "",IF(iprivadaipublica3_2018="","",iprivadaipublica3_2018))</f>
        <v/>
      </c>
      <c r="X5" s="177" t="str">
        <f>IF(nomemp4= " ", "",IF(iprivadaipublica3_2019="","",iprivadaipublica3_2019))</f>
        <v/>
      </c>
      <c r="Y5" s="177" t="str">
        <f>IF(nomemp4= " ", "",IF(iprivadaipublica3_2020="","",iprivadaipublica3_2020))</f>
        <v/>
      </c>
      <c r="Z5" s="177" t="str">
        <f>IF(nomemp4= " ", "",IF(iprivadaipublica3_2021="","",iprivadaipublica3_2021))</f>
        <v/>
      </c>
      <c r="AA5" s="177" t="str">
        <f>IF(nomemp4= " ", "",IF(iprivadaipublica3_2022="","",iprivadaipublica3_2022))</f>
        <v/>
      </c>
      <c r="AB5" s="177" t="str">
        <f>IF(nomemp4= " ", "",IF(iprivadaipublica3_2023="","",iprivadaipublica3_2023))</f>
        <v/>
      </c>
      <c r="AC5" s="177" t="str">
        <f>IF(nomemp4="","",IF(copera3_2016="","",copera3_2016))</f>
        <v/>
      </c>
      <c r="AD5" s="177" t="str">
        <f>IF(nomemp4="","",IF(copera3_2017="","",copera3_2017))</f>
        <v/>
      </c>
      <c r="AE5" s="177" t="str">
        <f>IF(nomemp4="","",IF(copera3_2018="","",copera3_2018))</f>
        <v/>
      </c>
      <c r="AF5" s="177" t="str">
        <f>IF(nomemp4="","",IF(copera3_2019="","",copera3_2019))</f>
        <v/>
      </c>
      <c r="AG5" s="177" t="str">
        <f>IF(nomemp4="","",IF(copera3_2020="","",copera3_2020))</f>
        <v/>
      </c>
      <c r="AH5" s="177" t="str">
        <f>IF(nomemp4="","",IF(copera3_2021="","",copera3_2021))</f>
        <v/>
      </c>
      <c r="AI5" s="177" t="str">
        <f>IF(nomemp4="","",IF(copera3_2022="","",copera3_2022))</f>
        <v/>
      </c>
      <c r="AJ5" s="177" t="str">
        <f>IF(nomemp4="","",IF(copera3_2023="","",copera3_2023))</f>
        <v/>
      </c>
      <c r="AK5" s="177" t="str">
        <f>IF(nomemp4="","",IF(investigadorshomes3_2016="","",investigadorshomes3_2016))</f>
        <v/>
      </c>
      <c r="AL5" s="177" t="str">
        <f>IF(nomemp4="","",IF(investigadorshomes3_2017="","",investigadorshomes3_2017))</f>
        <v/>
      </c>
      <c r="AM5" s="177" t="str">
        <f>IF(nomemp4="","",IF(investigadorshomes3_2018="","",investigadorshomes3_2018))</f>
        <v/>
      </c>
      <c r="AN5" s="177" t="str">
        <f>IF(nomemp4="","",IF(investigadorshomes3_2019="","",investigadorshomes3_2019))</f>
        <v/>
      </c>
      <c r="AO5" s="177" t="str">
        <f>IF(nomemp4="","",IF(investigadorshomes3_2020="","",investigadorshomes3_2020))</f>
        <v/>
      </c>
      <c r="AP5" s="177" t="str">
        <f>IF(nomemp4="","",IF(investigadorshomes3_2021="","",investigadorshomes3_2021))</f>
        <v/>
      </c>
      <c r="AQ5" s="177" t="str">
        <f>IF(nomemp4="","",IF(investigadorshomes3_2022="","",investigadorshomes3_2022))</f>
        <v/>
      </c>
      <c r="AR5" s="177" t="str">
        <f>IF(nomemp4="","",IF(investigadorshomes3_2023="","",investigadorshomes3_2023))</f>
        <v/>
      </c>
      <c r="AS5" s="177" t="str">
        <f>IF(nomemp4="","",IF(investigadorsdones3_2016= "","",investigadorsdones3_2016))</f>
        <v/>
      </c>
      <c r="AT5" s="177" t="str">
        <f>IF(nomemp4="","",IF(investigadorsdones3_2017= "","",investigadorsdones3_2017))</f>
        <v/>
      </c>
      <c r="AU5" s="177" t="str">
        <f>IF(nomemp4="","",IF(investigadorsdones3_2018= "","",investigadorsdones3_2018))</f>
        <v/>
      </c>
      <c r="AV5" s="177" t="str">
        <f>IF(nomemp4="","",IF(investigadorsdones3_2019= "","",investigadorsdones3_2019))</f>
        <v/>
      </c>
      <c r="AW5" s="177" t="str">
        <f>IF(nomemp4="","",IF(investigadorsdones3_2020= "","",investigadorsdones3_2020))</f>
        <v/>
      </c>
      <c r="AX5" s="177" t="str">
        <f>IF(nomemp4="","",IF(investigadorsdones3_2021= "","",investigadorsdones3_2021))</f>
        <v/>
      </c>
      <c r="AY5" s="177" t="str">
        <f>IF(nomemp4="","",IF(investigadorsdones3_2022= "","",investigadorsdones3_2022))</f>
        <v/>
      </c>
      <c r="AZ5" s="177" t="str">
        <f>IF(nomemp4="","",IF(investigadorsdones3_2023= "","",investigadorsdones3_2023))</f>
        <v/>
      </c>
      <c r="BA5" s="177" t="str">
        <f>IF(nomemp4=" ", " ",IF(investigadorstotal3_2016="","",investigadorstotal3_2016))</f>
        <v/>
      </c>
      <c r="BB5" s="177" t="str">
        <f>IF(nomemp4=" ", " ",IF(investigadorstotal3_2017="","",investigadorstotal3_2017))</f>
        <v/>
      </c>
      <c r="BC5" s="177" t="str">
        <f>IF(nomemp4=" ", " ",IF(investigadorstotal3_2018="","",investigadorstotal3_2018))</f>
        <v/>
      </c>
      <c r="BD5" s="177" t="str">
        <f>IF(nomemp4=" ", " ",IF(investigadorstotal3_2019="","",investigadorstotal3_2019))</f>
        <v/>
      </c>
      <c r="BE5" s="177" t="str">
        <f>IF(nomemp4=" ", " ",IF(investigadorstotal3_2020="","",investigadorstotal3_2020))</f>
        <v/>
      </c>
      <c r="BF5" s="177" t="str">
        <f>IF(nomemp4=" ", " ",IF(investigadorstotal3_2021="","",investigadorstotal3_2021))</f>
        <v/>
      </c>
      <c r="BG5" s="177" t="str">
        <f>IF(nomemp4=" ", " ",IF(investigadorstotal3_2022="","",investigadorstotal3_2022))</f>
        <v/>
      </c>
      <c r="BH5" s="177" t="str">
        <f>IF(nomemp4=" ", " ",IF(investigadorstotal3_2023="","",investigadorstotal3_2023))</f>
        <v/>
      </c>
      <c r="BI5" s="177" t="str">
        <f>IF(nomemp4=" ", " ",IF(certificacio3_2016="","",certificacio3_2016))</f>
        <v/>
      </c>
      <c r="BJ5" s="177" t="str">
        <f>IF(nomemp4=" ", " ",IF(certificacio3_2017="","",certificacio3_2017))</f>
        <v/>
      </c>
      <c r="BK5" s="177" t="str">
        <f>IF(nomemp4=" ", " ",IF(certificacio3_2018="","",certificacio3_2018))</f>
        <v/>
      </c>
      <c r="BL5" s="177" t="str">
        <f>IF(nomemp4=" "," ",IF(certificacio3_2019="","",certificacio3_2019))</f>
        <v/>
      </c>
      <c r="BM5" s="177" t="str">
        <f>IF(nomemp4=" ", " ",IF(certificacio3_2020="","",certificacio3_2020))</f>
        <v/>
      </c>
      <c r="BN5" s="177" t="str">
        <f>IF(nomemp4=" ", " ",IF(certificacio3_2021="","",certificacio3_2021))</f>
        <v/>
      </c>
      <c r="BO5" s="177" t="str">
        <f>IF(nomemp4=" ", " ",IF(certificacio3_2022="","",certificacio3_2022))</f>
        <v/>
      </c>
      <c r="BP5" s="177" t="str">
        <f>IF(nomemp4=" ", " ",IF(certificacio3_2023="","",certificacio3_2023))</f>
        <v/>
      </c>
      <c r="BQ5" s="177" t="str">
        <f>IF(nomemp4="","",IF(ipublica3_2016="","",ipublica3_2016))</f>
        <v/>
      </c>
      <c r="BR5" s="177" t="str">
        <f>IF(nomemp4="","",IF(ipublica3_2017="","",ipublica3_2017))</f>
        <v/>
      </c>
      <c r="BS5" s="177" t="str">
        <f>IF(nomemp4="","",IF(ipublica3_2018="","",ipublica3_2018))</f>
        <v/>
      </c>
      <c r="BT5" s="177" t="str">
        <f>IF(nomemp4="","",IF(ipublica3_2019="","",ipublica3_2019))</f>
        <v/>
      </c>
      <c r="BU5" s="177" t="str">
        <f>IF(nomemp4="","",IF(ipublica3_2020="","",ipublica3_2020))</f>
        <v/>
      </c>
      <c r="BV5" s="177" t="str">
        <f>IF(nomemp4="","",IF(ipublica3_2021="","",ipublica3_2021))</f>
        <v/>
      </c>
      <c r="BW5" s="177" t="str">
        <f>IF(nomemp4="","",IF(ipublica3_2022="","",ipublica3_2022))</f>
        <v/>
      </c>
      <c r="BX5" s="177" t="str">
        <f>IF(nomemp4="","",IF(ipublica3_2023="","",ipublica3_2023))</f>
        <v/>
      </c>
      <c r="BY5" s="177" t="str">
        <f>IF(nomemp4="","",IF(iprivada3_2016="","",iprivada3_2016))</f>
        <v/>
      </c>
      <c r="BZ5" s="177" t="str">
        <f>IF(nomemp4="","",IF(iprivada3_2017="","",iprivada3_2017))</f>
        <v/>
      </c>
      <c r="CA5" s="177" t="str">
        <f>IF(nomemp4="","",IF(iprivada3_2018="","",iprivada3_2018))</f>
        <v/>
      </c>
      <c r="CB5" s="177" t="str">
        <f>IF(nomemp4="","",IF(iprivada3_2019="","",iprivada3_2019))</f>
        <v/>
      </c>
      <c r="CC5" s="177" t="str">
        <f>IF(nomemp4="","",IF(iprivada3_2020="","",iprivada3_2020))</f>
        <v/>
      </c>
      <c r="CD5" s="177" t="str">
        <f>IF(nomemp4="","",IF(iprivada3_2021="","",iprivada3_2021))</f>
        <v/>
      </c>
      <c r="CE5" s="177" t="str">
        <f>IF(nomemp4="","",IF(iprivada3_2022="","",iprivada3_2022))</f>
        <v/>
      </c>
      <c r="CF5" s="177" t="str">
        <f>IF(nomemp4="","",IF(iprivada3_2023="","",iprivada3_2023))</f>
        <v/>
      </c>
      <c r="CG5" s="177" t="str">
        <f>IF(nomemp4="","",IF(investigadorstotalprojecte3_2016="","",investigadorstotalprojecte3_2016))</f>
        <v/>
      </c>
      <c r="CH5" s="177" t="str">
        <f>IF(nomemp4="","",IF(investigadorstotalprojecte3_2017="","",investigadorstotalprojecte3_2017))</f>
        <v/>
      </c>
      <c r="CI5" s="177" t="str">
        <f>IF(nomemp4="","",IF(investigadorstotalprojecte3_2018="","",investigadorstotalprojecte3_2018))</f>
        <v/>
      </c>
      <c r="CJ5" s="177" t="str">
        <f>IF(nomemp4="","",IF(investigadorstotalprojecte3_2019="","",investigadorstotalprojecte3_2019))</f>
        <v/>
      </c>
      <c r="CK5" s="177" t="str">
        <f>IF(nomemp4="","",IF(investigadorstotalprojecte3_2020="","",investigadorstotalprojecte3_2020))</f>
        <v/>
      </c>
      <c r="CL5" s="177" t="str">
        <f>IF(nomemp4="","",IF(investigadorstotalprojecte3_2021="","",investigadorstotalprojecte3_2021))</f>
        <v/>
      </c>
      <c r="CM5" s="177" t="str">
        <f>IF(nomemp4="","",IF(investigadorstotalprojecte3_2022="","",investigadorstotalprojecte3_2022))</f>
        <v/>
      </c>
      <c r="CN5" s="177" t="str">
        <f>IF(nomemp4="","",IF(investigadorstotalprojecte3_2023="","",investigadorstotalprojecte3_2023))</f>
        <v/>
      </c>
      <c r="CO5" s="177" t="str">
        <f>IF(nomemp4="","",IF(investigadorshomesprojecte3_2016="","",investigadorshomesprojecte3_2016))</f>
        <v/>
      </c>
      <c r="CP5" s="177" t="str">
        <f>IF(nomemp4="","",IF(investigadorshomesprojecte3_2017="","",investigadorshomesprojecte3_2017))</f>
        <v/>
      </c>
      <c r="CQ5" s="177" t="str">
        <f>IF(nomemp4="","",IF(investigadorshomesprojecte3_2018="","",investigadorshomesprojecte3_2018))</f>
        <v/>
      </c>
      <c r="CR5" s="177" t="str">
        <f>IF(nomemp4="","",IF(investigadorshomesprojecte3_2019="","",investigadorshomesprojecte3_2019))</f>
        <v/>
      </c>
      <c r="CS5" s="177" t="str">
        <f>IF(nomemp4="","",IF(investigadorshomesprojecte3_2020="","",investigadorshomesprojecte3_2020))</f>
        <v/>
      </c>
      <c r="CT5" s="177" t="str">
        <f>IF(nomemp4="","",IF(investigadorshomesprojecte3_2021="","",investigadorshomesprojecte3_2021))</f>
        <v/>
      </c>
      <c r="CU5" s="177" t="str">
        <f>IF(nomemp4="","",IF(investigadorshomesprojecte3_2022="","",investigadorshomesprojecte3_2022))</f>
        <v/>
      </c>
      <c r="CV5" s="177" t="str">
        <f>IF(nomemp4="","",IF(investigadorshomesprojecte3_2023="","",investigadorshomesprojecte3_2023))</f>
        <v/>
      </c>
      <c r="CW5" s="177" t="str">
        <f>IF(nomemp4="","",IF(investigadorsdonesprojecte3_2016="","",investigadorsdonesprojecte3_2016))</f>
        <v/>
      </c>
      <c r="CX5" s="177" t="str">
        <f>IF(nomemp4="","",IF(investigadorsdonesprojecte3_2017="","",investigadorsdonesprojecte3_2017))</f>
        <v/>
      </c>
      <c r="CY5" s="177" t="str">
        <f>IF(nomemp4="","",IF(investigadorsdonesprojecte3_2018="","",investigadorsdonesprojecte3_2018))</f>
        <v/>
      </c>
      <c r="CZ5" s="177" t="str">
        <f>IF(nomemp4="","",IF(investigadorsdonesprojecte3_2019="","",investigadorsdonesprojecte3_2019))</f>
        <v/>
      </c>
      <c r="DA5" s="177" t="str">
        <f>IF(nomemp4="","",IF(investigadorsdonesprojecte3_2020="","",investigadorsdonesprojecte3_2020))</f>
        <v/>
      </c>
      <c r="DB5" s="177" t="str">
        <f>IF(nomemp4="","",IF(investigadorsdonesprojecte3_2021="","",investigadorsdonesprojecte3_2021))</f>
        <v/>
      </c>
      <c r="DC5" s="177" t="str">
        <f>IF(nomemp4="","",IF(investigadorsdonesprojecte3_2022="","",investigadorsdonesprojecte3_2022))</f>
        <v/>
      </c>
      <c r="DD5" s="177" t="str">
        <f>IF(nomemp4="","",IF(investigadorsdonesprojecte3_2023="","",investigadorsdonesprojecte3_2023))</f>
        <v/>
      </c>
      <c r="DE5" s="177" t="str">
        <f>IF(nomemp4="","",IF(empresesprivades3_2017="","",empresesprivades3_2017))</f>
        <v/>
      </c>
      <c r="DF5" s="177" t="str">
        <f>IF(nomemp4="","",IF(empresesprivades3_2017="","",empresesprivades3_2017))</f>
        <v/>
      </c>
      <c r="DG5" s="177" t="str">
        <f>IF(nomemp4="","",IF(empresesprivades3_2018="","",empresesprivades3_2018))</f>
        <v/>
      </c>
      <c r="DH5" s="177" t="str">
        <f>IF(nomemp4="","",IF(empresesprivades3_2019="","",empresesprivades3_2019))</f>
        <v/>
      </c>
      <c r="DI5" s="177" t="str">
        <f>IF(nomemp4="","",IF(empresesprivades3_2020="","",empresesprivades3_2020))</f>
        <v/>
      </c>
      <c r="DJ5" s="177" t="str">
        <f>IF(nomemp4="","",IF(empresesprivades3_2021="","",empresesprivades3_2021))</f>
        <v/>
      </c>
      <c r="DK5" s="177" t="str">
        <f>IF(nomemp4="","",IF(empresesprivades3_2022="","",empresesprivades3_2022))</f>
        <v/>
      </c>
      <c r="DL5" s="177" t="str">
        <f>IF(nomemp4="","",IF(empresesprivades3_2023="","",empresesprivades3_2023))</f>
        <v/>
      </c>
      <c r="DM5" s="177" t="str">
        <f>IF(nomemp4="","",IF(empresespubliques3_2017="","",empresespubliques3_2017))</f>
        <v/>
      </c>
      <c r="DN5" s="177" t="str">
        <f>IF(nomemp4="","",IF(empresespubliques3_2017="","",empresespubliques3_2017))</f>
        <v/>
      </c>
      <c r="DO5" s="177" t="str">
        <f>IF(nomemp4="","",IF(empresespubliques3_2018="","",empresespubliques3_2018))</f>
        <v/>
      </c>
      <c r="DP5" s="177" t="str">
        <f>IF(nomemp4="","",IF(empresespubliques3_2019="","",empresespubliques3_2019))</f>
        <v/>
      </c>
      <c r="DQ5" s="177" t="str">
        <f>IF(nomemp4="","",IF(empresespubliques3_2020="","",empresespubliques3_2020))</f>
        <v/>
      </c>
      <c r="DR5" s="177" t="str">
        <f>IF(nomemp4="","",IF(empresespubliques3_2021="","",empresespubliques3_2021))</f>
        <v/>
      </c>
      <c r="DS5" s="177" t="str">
        <f>IF(nomemp4="","",IF(empresespubliques3_2022="","",empresespubliques3_2022))</f>
        <v/>
      </c>
      <c r="DT5" s="177" t="str">
        <f>IF(nomemp4="","",IF(empresespubliques3_2023="","",empresespubliques3_2023))</f>
        <v/>
      </c>
      <c r="DU5" s="177" t="str">
        <f>IF(nomemp4="","",IF(centrestecnologics3_2017="","",centrestecnologics3_2017))</f>
        <v/>
      </c>
      <c r="DV5" s="177" t="str">
        <f>IF(nomemp4="","",IF(centrestecnologics3_2017="","",centrestecnologics3_2017))</f>
        <v/>
      </c>
      <c r="DW5" s="177" t="str">
        <f>IF(nomemp4="","",IF(centrestecnologics3_2018="","",centrestecnologics3_2018))</f>
        <v/>
      </c>
      <c r="DX5" s="177" t="str">
        <f>IF(nomemp4="","",IF(centrestecnologics3_2019="","",centrestecnologics3_2019))</f>
        <v/>
      </c>
      <c r="DY5" s="177" t="str">
        <f>IF(nomemp4="","",IF(centrestecnologics3_2020="","",centrestecnologics3_2020))</f>
        <v/>
      </c>
      <c r="DZ5" s="177" t="str">
        <f>IF(nomemp4="","",IF(centrestecnologics3_2021="","",centrestecnologics3_2021))</f>
        <v/>
      </c>
      <c r="EA5" s="177" t="str">
        <f>IF(nomemp4="","",IF(centrestecnologics3_2022="","",centrestecnologics3_2022))</f>
        <v/>
      </c>
      <c r="EB5" s="177" t="str">
        <f>IF(nomemp4="","",IF(centrestecnologics3_2023="","",centrestecnologics3_2023))</f>
        <v/>
      </c>
      <c r="EC5" s="177" t="str">
        <f>IF(nomemp4="","",IF(universitats3_2017="","",universitats3_2017))</f>
        <v/>
      </c>
      <c r="ED5" s="177" t="str">
        <f>IF(nomemp4="","",IF(universitats3_2017="","",universitats3_2017))</f>
        <v/>
      </c>
      <c r="EE5" s="177" t="str">
        <f>IF(nomemp4="","",IF(universitats3_2018="","",universitats3_2018))</f>
        <v/>
      </c>
      <c r="EF5" s="177" t="str">
        <f>IF(nomemp4="","",IF(universitats3_2019="","",universitats3_2019))</f>
        <v/>
      </c>
      <c r="EG5" s="177" t="str">
        <f>IF(nomemp4="","",IF(universitats3_2020="","",universitats3_2020))</f>
        <v/>
      </c>
      <c r="EH5" s="177" t="str">
        <f>IF(nomemp4="","",IF(universitats3_2021="","",universitats3_2021))</f>
        <v/>
      </c>
      <c r="EI5" s="177" t="str">
        <f>IF(nomemp4="","",IF(universitats3_2022="","",universitats3_2022))</f>
        <v/>
      </c>
      <c r="EJ5" s="177" t="str">
        <f>IF(nomemp4="","",IF(universitats3_2023="","",universitats3_2023))</f>
        <v/>
      </c>
      <c r="EK5" s="177" t="str">
        <f>IF(nomemp4="","",IF(centresrecerca3_2017="","",centresrecerca3_2017))</f>
        <v/>
      </c>
      <c r="EL5" s="177" t="str">
        <f>IF(nomemp4="","",IF(centresrecerca3_2017="","",centresrecerca3_2017))</f>
        <v/>
      </c>
      <c r="EM5" s="177" t="str">
        <f>IF(nomemp4="","",IF(centresrecerca3_2018="","",centresrecerca3_2018))</f>
        <v/>
      </c>
      <c r="EN5" s="177" t="str">
        <f>IF(nomemp4="","",IF(centresrecerca3_2019="","",centresrecerca3_2019))</f>
        <v/>
      </c>
      <c r="EO5" s="177" t="str">
        <f>IF(nomemp4="","",IF(centresrecerca3_2020="","",centresrecerca3_2020))</f>
        <v/>
      </c>
      <c r="EP5" s="177" t="str">
        <f>IF(nomemp4="","",IF(centresrecerca3_2021="","",centresrecerca3_2021))</f>
        <v/>
      </c>
      <c r="EQ5" s="177" t="str">
        <f>IF(nomemp4="","",IF(centresrecerca3_2022="","",centresrecerca3_2022))</f>
        <v/>
      </c>
      <c r="ER5" s="177" t="str">
        <f>IF(nomemp4="","",IF(centresrecerca3_2023="","",centresrecerca3_2023))</f>
        <v/>
      </c>
      <c r="ES5" s="177" t="str">
        <f>IF(nomemp4="","",IF(infraestructures3_2017="","",infraestructures3_2017))</f>
        <v/>
      </c>
      <c r="ET5" s="177" t="str">
        <f>IF(nomemp4="","",IF(infraestructures3_2017="","",infraestructures3_2017))</f>
        <v/>
      </c>
      <c r="EU5" s="177" t="str">
        <f>IF(nomemp4="","",IF(infraestructures3_2018="","",infraestructures3_2018))</f>
        <v/>
      </c>
      <c r="EV5" s="177" t="str">
        <f>IF(nomemp4="","",IF(infraestructures3_2019="","",infraestructures3_2019))</f>
        <v/>
      </c>
      <c r="EW5" s="177" t="str">
        <f>IF(nomemp4="","",IF(infraestructures3_2020="","",infraestructures3_2020))</f>
        <v/>
      </c>
      <c r="EX5" s="177" t="str">
        <f>IF(nomemp4="","",IF(infraestructures3_2021="","",infraestructures3_2021))</f>
        <v/>
      </c>
      <c r="EY5" s="177" t="str">
        <f>IF(nomemp4="","",IF(infraestructures3_2022="","",infraestructures3_2022))</f>
        <v/>
      </c>
      <c r="EZ5" s="177" t="str">
        <f>IF(nomemp4="","",IF(infraestructures3_2023="","",infraestructures3_2023))</f>
        <v/>
      </c>
      <c r="FA5" s="177" t="str">
        <f>IF(nomemp4="","",IF(spinoff3_2017="","",spinoff3_2017))</f>
        <v/>
      </c>
      <c r="FB5" s="177" t="str">
        <f>IF(nomemp4="","",IF(spinoff3_2017="","",spinoff3_2017))</f>
        <v/>
      </c>
      <c r="FC5" s="177" t="str">
        <f>IF(nomemp4="","",IF(spinoff3_2018="","",spinoff3_2018))</f>
        <v/>
      </c>
      <c r="FD5" s="177" t="str">
        <f>IF(nomemp4="","",IF(spinoff3_2019="","",spinoff3_2019))</f>
        <v/>
      </c>
      <c r="FE5" s="177" t="str">
        <f>IF(nomemp4="","",IF(spinoff3_2020="","",spinoff3_2020))</f>
        <v/>
      </c>
      <c r="FF5" s="177" t="str">
        <f>IF(nomemp4="","",IF(spinoff3_2021="","",spinoff3_2021))</f>
        <v/>
      </c>
      <c r="FG5" s="177" t="str">
        <f>IF(nomemp4="","",IF(spinoff3_2022="","",spinoff3_2022))</f>
        <v/>
      </c>
      <c r="FH5" s="177" t="str">
        <f>IF(nomemp4="","",IF(spinoff3_2023="","",spinoff3_2023))</f>
        <v/>
      </c>
      <c r="FI5" s="177" t="str">
        <f>IF(nomemp4="","",IF(patents3_2017="","",patents3_2017))</f>
        <v/>
      </c>
      <c r="FJ5" s="177" t="str">
        <f>IF(nomemp4="","",IF(patents3_2017="","",patents3_2017))</f>
        <v/>
      </c>
      <c r="FK5" s="177" t="str">
        <f>IF(nomemp4="","",IF(patents3_2018="","",patents3_2018))</f>
        <v/>
      </c>
      <c r="FL5" s="177" t="str">
        <f>IF(nomemp4="","",IF(patents3_2019="","",patents3_2019))</f>
        <v/>
      </c>
      <c r="FM5" s="177" t="str">
        <f>IF(nomemp4="","",IF(patents3_2020="","",patents3_2020))</f>
        <v/>
      </c>
      <c r="FN5" s="177" t="str">
        <f>IF(nomemp4="","",IF(patents3_2021="","",patents3_2021))</f>
        <v/>
      </c>
      <c r="FO5" s="177" t="str">
        <f>IF(nomemp4="","",IF(patents3_2022="","",patents3_2022))</f>
        <v/>
      </c>
      <c r="FP5" s="177" t="str">
        <f>IF(nomemp4="","",IF(patents3_2023="","",patents3_2023))</f>
        <v/>
      </c>
      <c r="FQ5" s="177" t="str">
        <f>IF(nomemp4="","",IF(marques3_2017="","",marques3_2017))</f>
        <v/>
      </c>
      <c r="FR5" s="177" t="str">
        <f>IF(nomemp4="","",IF(marques3_2017="","",marques3_2017))</f>
        <v/>
      </c>
      <c r="FS5" s="177" t="str">
        <f>IF(nomemp4="","",IF(marques3_2018="","",marques3_2018))</f>
        <v/>
      </c>
      <c r="FT5" s="177" t="str">
        <f>IF(nomemp4="","",IF(marques3_2019="","",marques3_2019))</f>
        <v/>
      </c>
      <c r="FU5" s="177" t="str">
        <f>IF(nomemp4="","",IF(marques3_2020="","",marques3_2020))</f>
        <v/>
      </c>
      <c r="FV5" s="177" t="str">
        <f>IF(nomemp4="","",IF(marques3_2021="","",marques3_2021))</f>
        <v/>
      </c>
      <c r="FW5" s="177" t="str">
        <f>IF(nomemp4="","",IF(marques3_2022="","",marques3_2022))</f>
        <v/>
      </c>
      <c r="FX5" s="177" t="str">
        <f>IF(nomemp4="","",IF(marques3_2023="","",marques3_2023))</f>
        <v/>
      </c>
      <c r="FY5" s="177" t="str">
        <f>IF(nomemp4="","",IF(innoven3_2017="","",innoven3_2017))</f>
        <v/>
      </c>
      <c r="FZ5" s="177" t="str">
        <f>IF(nomemp4="","",IF(innoven3_2017="","",innoven3_2017))</f>
        <v/>
      </c>
      <c r="GA5" s="177" t="str">
        <f>IF(nomemp4="","",IF(innoven3_2018="","",innoven3_2018))</f>
        <v/>
      </c>
      <c r="GB5" s="177" t="str">
        <f>IF(nomemp4="","",IF(innoven3_2019="","",innoven3_2019))</f>
        <v/>
      </c>
      <c r="GC5" s="177" t="str">
        <f>IF(nomemp4="","",IF(innoven3_2020="","",innoven3_2020))</f>
        <v/>
      </c>
      <c r="GD5" s="177" t="str">
        <f>IF(nomemp4="","",IF(innoven3_2021="","",innoven3_2021))</f>
        <v/>
      </c>
      <c r="GE5" s="177" t="str">
        <f>IF(nomemp4="","",IF(innoven3_2022="","",innoven3_2022))</f>
        <v/>
      </c>
      <c r="GF5" s="177" t="str">
        <f>IF(nomemp4="","",IF(innoven3_2023="","",innoven3_2023))</f>
        <v/>
      </c>
      <c r="GG5" s="177" t="str">
        <f>IF(nomemp4="","",IF(llocsdetreball3_2017="","",llocsdetreball3_2017))</f>
        <v/>
      </c>
      <c r="GH5" s="177" t="str">
        <f>IF(nomemp4="","",IF(llocsdetreball3_2017="","",llocsdetreball3_2017))</f>
        <v/>
      </c>
      <c r="GI5" s="177" t="str">
        <f>IF(nomemp4="","",IF(llocsdetreball3_2018="","",llocsdetreball3_2018))</f>
        <v/>
      </c>
      <c r="GJ5" s="177" t="str">
        <f>IF(nomemp4="","",IF(llocsdetreball3_2019="","",llocsdetreball3_2019))</f>
        <v/>
      </c>
      <c r="GK5" s="177" t="str">
        <f>IF(nomemp4="","",IF(llocsdetreball3_2020="","",llocsdetreball3_2020))</f>
        <v/>
      </c>
      <c r="GL5" s="177" t="str">
        <f>IF(nomemp4="","",IF(llocsdetreball3_2021="","",llocsdetreball3_2021))</f>
        <v/>
      </c>
      <c r="GM5" s="177" t="str">
        <f>IF(nomemp4="","",IF(llocsdetreball3_2022="","",llocsdetreball3_2022))</f>
        <v/>
      </c>
      <c r="GN5" s="177" t="str">
        <f>IF(nomemp4="","",IF(llocsdetreball3_2023="","",llocsdetreball3_2023))</f>
        <v/>
      </c>
      <c r="GO5" s="177" t="str">
        <f>IF(nomemp4="","",IF(formacio3_2017="","",formacio3_2017))</f>
        <v/>
      </c>
      <c r="GP5" s="177" t="str">
        <f>IF(nomemp4="","",IF(formacio3_2017="","",formacio3_2017))</f>
        <v/>
      </c>
      <c r="GQ5" s="177" t="str">
        <f>IF(nomemp4="","",IF(formacio3_2018="","",formacio3_2018))</f>
        <v/>
      </c>
      <c r="GR5" s="177" t="str">
        <f>IF(nomemp4="","",IF(formacio3_2019="","",formacio3_2019))</f>
        <v/>
      </c>
      <c r="GS5" s="177" t="str">
        <f>IF(nomemp4="","",IF(formacio3_2020="","",formacio3_2020))</f>
        <v/>
      </c>
      <c r="GT5" s="177" t="str">
        <f>IF(nomemp4="","",IF(formacio3_2021="","",formacio3_2021))</f>
        <v/>
      </c>
      <c r="GU5" s="177" t="str">
        <f>IF(nomemp4="","",IF(formacio3_2022="","",formacio3_2022))</f>
        <v/>
      </c>
      <c r="GV5" s="177" t="str">
        <f>IF(nomemp4="","",IF(formacio3_2023="","",formacio3_2023))</f>
        <v/>
      </c>
      <c r="GW5" s="177" t="str">
        <f>IF(nomemp4="","",IF(ingressos3_2017="","",ingressos3_2017))</f>
        <v/>
      </c>
      <c r="GX5" s="177" t="str">
        <f>IF(nomemp4="","",IF(ingressos3_2017="","",ingressos3_2017))</f>
        <v/>
      </c>
      <c r="GY5" s="177" t="str">
        <f>IF(nomemp4="","",IF(ingressos3_2018="","",ingressos3_2018))</f>
        <v/>
      </c>
      <c r="GZ5" s="177" t="str">
        <f>IF(nomemp4="","",IF(ingressos3_2019="","",ingressos3_2019))</f>
        <v/>
      </c>
      <c r="HA5" s="177" t="str">
        <f>IF(nomemp4="","",IF(ingressos3_2020="","",ingressos3_2020))</f>
        <v/>
      </c>
      <c r="HB5" s="177" t="str">
        <f>IF(nomemp4="","",IF(ingressos3_2021="","",ingressos3_2021))</f>
        <v/>
      </c>
      <c r="HC5" s="177" t="str">
        <f>IF(nomemp4="","",IF(ingressos3_2022="","",ingressos3_2022))</f>
        <v/>
      </c>
      <c r="HD5" s="177" t="str">
        <f>IF(nomemp4="","",IF(ingressos3_2023="","",ingressos3_2023))</f>
        <v/>
      </c>
      <c r="HE5" s="177" t="str">
        <f>IF(nomemp4="","",IF(exportacions3_2017="","",exportacions3_2017))</f>
        <v/>
      </c>
      <c r="HF5" s="177" t="str">
        <f>IF(nomemp4="","",IF(exportacions3_2017="","",exportacions3_2017))</f>
        <v/>
      </c>
      <c r="HG5" s="177" t="str">
        <f>IF(nomemp4="","",IF(exportacions3_2018="","",exportacions3_2018))</f>
        <v/>
      </c>
      <c r="HH5" s="177" t="str">
        <f>IF(nomemp4="","",IF(exportacions3_2019="","",exportacions3_2019))</f>
        <v/>
      </c>
      <c r="HI5" s="177" t="str">
        <f>IF(nomemp4="","",IF(exportacions3_2020="","",exportacions3_2020))</f>
        <v/>
      </c>
      <c r="HJ5" s="177" t="str">
        <f>IF(nomemp4="","",IF(exportacions3_2021="","",exportacions3_2021))</f>
        <v/>
      </c>
      <c r="HK5" s="177" t="str">
        <f>IF(nomemp4="","",IF(exportacions3_2022="","",exportacions3_2022))</f>
        <v/>
      </c>
      <c r="HL5" s="177" t="str">
        <f>IF(nomemp4="","",IF(exportacions3_2023="","",exportacions3_2023))</f>
        <v/>
      </c>
      <c r="HM5" s="177" t="str">
        <f>IF(nomemp4="","",IF(oportunitats3_2017="","",oportunitats3_2017))</f>
        <v/>
      </c>
      <c r="HN5" s="177" t="str">
        <f>IF(nomemp4="","",IF(oportunitats3_2017="","",oportunitats3_2017))</f>
        <v/>
      </c>
      <c r="HO5" s="177" t="str">
        <f>IF(nomemp4="","",IF(oportunitats3_2018="","",oportunitats3_2018))</f>
        <v/>
      </c>
      <c r="HP5" s="177" t="str">
        <f>IF(nomemp4="","",IF(oportunitats3_2019="","",oportunitats3_2019))</f>
        <v/>
      </c>
      <c r="HQ5" s="177" t="str">
        <f>IF(nomemp4="","",IF(oportunitats3_2020="","",oportunitats3_2020))</f>
        <v/>
      </c>
      <c r="HR5" s="177" t="str">
        <f>IF(nomemp4="","",IF(oportunitats3_2021="","",oportunitats3_2021))</f>
        <v/>
      </c>
      <c r="HS5" s="177" t="str">
        <f>IF(nomemp4="","",IF(oportunitats3_2022="","",oportunitats3_2022))</f>
        <v/>
      </c>
      <c r="HT5" s="177" t="str">
        <f>IF(nomemp4="","",IF(oportunitats3_2023="","",oportunitats3_2023))</f>
        <v/>
      </c>
      <c r="HU5" s="177" t="str">
        <f>IF(nomemp4="","",IF(productivitat3_2017="","",productivitat3_2017))</f>
        <v/>
      </c>
      <c r="HV5" s="177" t="str">
        <f>IF(nomemp4="","",IF(productivitat3_2017="","",productivitat3_2017))</f>
        <v/>
      </c>
      <c r="HW5" s="177" t="str">
        <f>IF(nomemp4="","",IF(productivitat3_2018="","",productivitat3_2018))</f>
        <v/>
      </c>
      <c r="HX5" s="177" t="str">
        <f>IF(nomemp4="","",IF(productivitat3_2019="","",productivitat3_2019))</f>
        <v/>
      </c>
      <c r="HY5" s="177" t="str">
        <f>IF(nomemp4="","",IF(productivitat3_2020="","",productivitat3_2020))</f>
        <v/>
      </c>
      <c r="HZ5" s="177" t="str">
        <f>IF(nomemp4="","",IF(productivitat3_2021="","",productivitat3_2021))</f>
        <v/>
      </c>
      <c r="IA5" s="177" t="str">
        <f>IF(nomemp4="","",IF(productivitat3_2022="","",productivitat3_2022))</f>
        <v/>
      </c>
      <c r="IB5" s="177" t="str">
        <f>IF(nomemp4="","",IF(productivitat3_2023="","",productivitat3_2023))</f>
        <v/>
      </c>
      <c r="IC5" s="177" t="str">
        <f>IF(nomemp4="","",IF(aigua3_2017="","",aigua3_2017))</f>
        <v/>
      </c>
      <c r="ID5" s="177" t="str">
        <f>IF(nomemp4="","",IF(aigua3_2017="","",aigua3_2017))</f>
        <v/>
      </c>
      <c r="IE5" s="177" t="str">
        <f>IF(nomemp4="","",IF(aigua3_2018="","",aigua3_2018))</f>
        <v/>
      </c>
      <c r="IF5" s="177" t="str">
        <f>IF(nomemp4="","",IF(aigua3_2019="","",aigua3_2019))</f>
        <v/>
      </c>
      <c r="IG5" s="177" t="str">
        <f>IF(nomemp4="","",IF(aigua3_2020="","",aigua3_2020))</f>
        <v/>
      </c>
      <c r="IH5" s="177" t="str">
        <f>IF(nomemp4="","",IF(aigua3_2021="","",aigua3_2021))</f>
        <v/>
      </c>
      <c r="II5" s="177" t="str">
        <f>IF(nomemp4="","",IF(aigua3_2022="","",aigua3_2022))</f>
        <v/>
      </c>
      <c r="IJ5" s="177" t="str">
        <f>IF(nomemp4="","",IF(aigua3_2023="","",aigua3_2023))</f>
        <v/>
      </c>
      <c r="IK5" s="177" t="str">
        <f>IF(nomemp4="","",IF(energia3_2017="","",energia3_2017))</f>
        <v/>
      </c>
      <c r="IL5" s="177" t="str">
        <f>IF(nomemp4="","",IF(energia3_2017="","",energia3_2017))</f>
        <v/>
      </c>
      <c r="IM5" s="177" t="str">
        <f>IF(nomemp4="","",IF(energia3_2018="","",energia3_2018))</f>
        <v/>
      </c>
      <c r="IN5" s="177" t="str">
        <f>IF(nomemp4="","",IF(energia3_2019="","",energia3_2019))</f>
        <v/>
      </c>
      <c r="IO5" s="177" t="str">
        <f>IF(nomemp4="","",IF(energia3_2020="","",energia3_2020))</f>
        <v/>
      </c>
      <c r="IP5" s="177" t="str">
        <f>IF(nomemp4="","",IF(energia3_2021="","",energia3_2021))</f>
        <v/>
      </c>
      <c r="IQ5" s="177" t="str">
        <f>IF(nomemp4="","",IF(energia3_2022="","",energia3_2022))</f>
        <v/>
      </c>
      <c r="IR5" s="177" t="str">
        <f>IF(nomemp4="","",IF(energia3_2023="","",energia3_2023))</f>
        <v/>
      </c>
      <c r="IS5" s="177" t="str">
        <f>IF(nomemp4="","",IF(emissions3_2017="","",emissions3_2017))</f>
        <v/>
      </c>
      <c r="IT5" s="177" t="str">
        <f>IF(nomemp4="","",IF(emissions3_2017="","",emissions3_2017))</f>
        <v/>
      </c>
      <c r="IU5" s="177" t="str">
        <f>IF(nomemp4="","",IF(emissions3_2018="","",emissions3_2018))</f>
        <v/>
      </c>
      <c r="IV5" s="177" t="str">
        <f>IF(nomemp4="","",IF(emissions3_2019="","",emissions3_2019))</f>
        <v/>
      </c>
      <c r="IW5" s="177" t="str">
        <f>IF(nomemp4="","",IF(emissions3_2020="","",emissions3_2020))</f>
        <v/>
      </c>
      <c r="IX5" s="177" t="str">
        <f>IF(nomemp4="","",IF(emissions3_2021="","",emissions3_2021))</f>
        <v/>
      </c>
      <c r="IY5" s="177" t="str">
        <f>IF(nomemp4="","",IF(emissions3_2022="","",emissions3_2022))</f>
        <v/>
      </c>
      <c r="IZ5" s="177" t="str">
        <f>IF(nomemp4="","",IF(emissions3_2023="","",emissions3_2023))</f>
        <v/>
      </c>
      <c r="JA5" s="177" t="str">
        <f>IF(nomemp4="","",IF(residus3_2017="","",residus3_2017))</f>
        <v/>
      </c>
      <c r="JB5" s="177" t="str">
        <f>IF(nomemp4="","",IF(residus3_2017="","",residus3_2017))</f>
        <v/>
      </c>
      <c r="JC5" s="177" t="str">
        <f>IF(nomemp4="","",IF(residus3_2018="","",residus3_2018))</f>
        <v/>
      </c>
      <c r="JD5" s="177" t="str">
        <f>IF(nomemp4="","",IF(residus3_2019="","",residus3_2019))</f>
        <v/>
      </c>
      <c r="JE5" s="177" t="str">
        <f>IF(nomemp4="","",IF(residus3_2020="","",residus3_2020))</f>
        <v/>
      </c>
      <c r="JF5" s="177" t="str">
        <f>IF(nomemp4="","",IF(residus3_2021="","",residus3_2021))</f>
        <v/>
      </c>
      <c r="JG5" s="177" t="str">
        <f>IF(nomemp4="","",IF(residus3_2022="","",residus3_2022))</f>
        <v/>
      </c>
      <c r="JH5" s="177" t="str">
        <f>IF(nomemp4="","",IF(residus3_2023="","",residus3_2023))</f>
        <v/>
      </c>
      <c r="JJ5" s="38"/>
      <c r="JK5" s="38"/>
      <c r="JL5" s="38"/>
    </row>
    <row r="6" spans="1:272" s="177" customFormat="1" x14ac:dyDescent="0.25">
      <c r="A6" s="177" t="str">
        <f>IF(nomemp5="","",codiexp1)</f>
        <v/>
      </c>
      <c r="B6" s="177" t="str">
        <f>UPPER(IF(nomemp5=" ", " ",nomemp5))</f>
        <v/>
      </c>
      <c r="C6" s="177" t="str">
        <f>UPPER(IF(nif_5= " ", " ", nif_5))</f>
        <v/>
      </c>
      <c r="D6" s="177" t="str">
        <f>IF(nomemp5="", "",UPPER(IF(codiparticipant4="","",codiparticipant4)))</f>
        <v/>
      </c>
      <c r="E6" s="177" t="str">
        <f>IF(nomemp5="", "",IF(ajudes4_2016="", "",ajudes4_2016))</f>
        <v/>
      </c>
      <c r="F6" s="177" t="str">
        <f>IF(nomemp5="", "",IF(ajudes4_2017="", "",ajudes4_2017))</f>
        <v/>
      </c>
      <c r="G6" s="177" t="str">
        <f>IF(nomemp5="",  "",IF(ajudes4_2018="", "",ajudes4_2018))</f>
        <v/>
      </c>
      <c r="H6" s="177" t="str">
        <f>IF(nomemp5="", "",IF(ajudes4_2019="", "",ajudes4_2019))</f>
        <v/>
      </c>
      <c r="I6" s="177" t="str">
        <f>IF(nomemp5="", "",IF(ajudes4_2020="", "",ajudes4_2020))</f>
        <v/>
      </c>
      <c r="J6" s="177" t="str">
        <f>IF(nomemp5="", "",IF(ajudes4_2021="", "",ajudes4_2021))</f>
        <v/>
      </c>
      <c r="K6" s="177" t="str">
        <f>IF(nomemp5="", "",IF(ajudes4_2022="", "",ajudes4_2022))</f>
        <v/>
      </c>
      <c r="L6" s="177" t="str">
        <f>IF(nomemp5="", "",IF(ajudes4_2023="", "",ajudes4_2023))</f>
        <v/>
      </c>
      <c r="M6" s="177" t="str">
        <f>IF(nomemp5= " ", " ", IF(subvencions4_2016="","",subvencions4_2016))</f>
        <v/>
      </c>
      <c r="N6" s="177" t="str">
        <f>IF(nomemp5= " ", " ", IF(subvencions4_2017="","",subvencions4_2017))</f>
        <v/>
      </c>
      <c r="O6" s="177" t="str">
        <f>IF(nomemp5= " ", " ", IF(subvencions4_2018="","",subvencions4_2018))</f>
        <v/>
      </c>
      <c r="P6" s="177" t="str">
        <f>IF(nomemp5= " ", " ", IF(subvencions4_2019="","",subvencions4_2019))</f>
        <v/>
      </c>
      <c r="Q6" s="177" t="str">
        <f>IF(nomemp5= " ", " ", IF(subvencions4_2020="","",subvencions4_2020))</f>
        <v/>
      </c>
      <c r="R6" s="177" t="str">
        <f>IF(nomemp5= " ", " ", IF(subvencions4_2021="","",subvencions4_2021))</f>
        <v/>
      </c>
      <c r="S6" s="177" t="str">
        <f>IF(nomemp5= " ", " ", IF(subvencions4_2022="","",subvencions4_2022))</f>
        <v/>
      </c>
      <c r="T6" s="177" t="str">
        <f>IF(nomemp5= " ", " ", IF(subvencions4_2023="","",subvencions4_2023))</f>
        <v/>
      </c>
      <c r="U6" s="177" t="str">
        <f>IF(nomemp5= " ", "",IF(iprivadaipublica4_2016="","",iprivadaipublica4_2016))</f>
        <v/>
      </c>
      <c r="V6" s="177" t="str">
        <f>IF(nomemp5= " ", "",IF(iprivadaipublica4_2017="","",iprivadaipublica4_2017))</f>
        <v/>
      </c>
      <c r="W6" s="177" t="str">
        <f>IF(nomemp5= " ", "",IF(iprivadaipublica4_2018="","",iprivadaipublica4_2018))</f>
        <v/>
      </c>
      <c r="X6" s="177" t="str">
        <f>IF(nomemp5= " ", "",IF(iprivadaipublica4_2019="","",iprivadaipublica4_2019))</f>
        <v/>
      </c>
      <c r="Y6" s="177" t="str">
        <f>IF(nomemp5= " ", "",IF(iprivadaipublica4_2020="","",iprivadaipublica4_2020))</f>
        <v/>
      </c>
      <c r="Z6" s="177" t="str">
        <f>IF(nomemp5= " ", "",IF(iprivadaipublica4_2021="","",iprivadaipublica4_2021))</f>
        <v/>
      </c>
      <c r="AA6" s="177" t="str">
        <f>IF(nomemp5= " ", "",IF(iprivadaipublica4_2022="","",iprivadaipublica4_2022))</f>
        <v/>
      </c>
      <c r="AB6" s="177" t="str">
        <f>IF(nomemp5=" ", "",IF(iprivadaipublica4_2023="","",iprivadaipublica4_2023))</f>
        <v/>
      </c>
      <c r="AC6" s="177" t="str">
        <f>IF(nomemp5="","",IF(copera4_2016="","",copera4_2016))</f>
        <v/>
      </c>
      <c r="AD6" s="177" t="str">
        <f>IF(nomemp5="","",IF(copera4_2017="","",copera4_2017))</f>
        <v/>
      </c>
      <c r="AE6" s="177" t="str">
        <f>IF(nomemp5="","",IF(copera4_2018="","",copera4_2018))</f>
        <v/>
      </c>
      <c r="AF6" s="177" t="str">
        <f>IF(nomemp5="","",IF(copera4_2019="","",copera4_2019))</f>
        <v/>
      </c>
      <c r="AG6" s="177" t="str">
        <f>IF(nomemp5="","",IF(copera4_2020="","",copera4_2020))</f>
        <v/>
      </c>
      <c r="AH6" s="177" t="str">
        <f>IF(nomemp5="","",IF(copera4_2021="","",copera4_2021))</f>
        <v/>
      </c>
      <c r="AI6" s="177" t="str">
        <f>IF(nomemp5="","",IF(copera4_2022="","",copera4_2022))</f>
        <v/>
      </c>
      <c r="AJ6" s="177" t="str">
        <f>IF(nomemp5="","",IF(copera4_2023="","",copera4_2023))</f>
        <v/>
      </c>
      <c r="AK6" s="177" t="str">
        <f>IF(nomemp5="","",IF(investigadorshomes4_2016="","",investigadorshomes4_2016))</f>
        <v/>
      </c>
      <c r="AL6" s="177" t="str">
        <f>IF(nomemp5="","",IF(investigadorshomes4_2017="","",investigadorshomes4_2017))</f>
        <v/>
      </c>
      <c r="AM6" s="177" t="str">
        <f>IF(nomemp5="","",IF(investigadorshomes4_2018="","",investigadorshomes4_2018))</f>
        <v/>
      </c>
      <c r="AN6" s="177" t="str">
        <f>IF(nomemp5="","",IF(investigadorshomes4_2019="","",investigadorshomes4_2019))</f>
        <v/>
      </c>
      <c r="AO6" s="177" t="str">
        <f>IF(nomemp5="","",IF(investigadorshomes4_2020="","",investigadorshomes4_2020))</f>
        <v/>
      </c>
      <c r="AP6" s="177" t="str">
        <f>IF(nomemp5="","",IF(investigadorshomes4_2021="","",investigadorshomes4_2021))</f>
        <v/>
      </c>
      <c r="AQ6" s="177" t="str">
        <f>IF(nomemp5="","",IF(investigadorshomes4_2022="","",investigadorshomes4_2022))</f>
        <v/>
      </c>
      <c r="AR6" s="177" t="str">
        <f>IF(nomemp5="","",IF(investigadorshomes4_2023="","",investigadorshomes4_2023))</f>
        <v/>
      </c>
      <c r="AS6" s="177" t="str">
        <f>IF(nomemp5="","",IF(investigadorsdones4_2016= "","",investigadorsdones4_2016))</f>
        <v/>
      </c>
      <c r="AT6" s="177" t="str">
        <f>IF(nomemp5="","",IF(investigadorsdones4_2017= "","",investigadorsdones4_2017))</f>
        <v/>
      </c>
      <c r="AU6" s="177" t="str">
        <f>IF(nomemp5="","",IF(investigadorsdones4_2018= "","",investigadorsdones4_2018))</f>
        <v/>
      </c>
      <c r="AV6" s="177" t="str">
        <f>IF(nomemp5="","",IF(investigadorsdones4_2019= "","",investigadorsdones4_2019))</f>
        <v/>
      </c>
      <c r="AW6" s="177" t="str">
        <f>IF(nomemp5="","",IF(investigadorsdones4_2020= "","",investigadorsdones4_2020))</f>
        <v/>
      </c>
      <c r="AX6" s="177" t="str">
        <f>IF(nomemp5="","",IF(investigadorsdones4_2021= "","",investigadorsdones4_2021))</f>
        <v/>
      </c>
      <c r="AY6" s="177" t="str">
        <f>IF(nomemp5="","",IF(investigadorsdones4_2022= "","",investigadorsdones4_2022))</f>
        <v/>
      </c>
      <c r="AZ6" s="177" t="str">
        <f>IF(nomemp5="","",IF(investigadorsdones4_2023= "","",investigadorsdones4_2023))</f>
        <v/>
      </c>
      <c r="BA6" s="177" t="str">
        <f>IF(nomemp5=" ", " ",IF(investigadorstotal4_2016="","",investigadorstotal4_2016))</f>
        <v/>
      </c>
      <c r="BB6" s="177" t="str">
        <f>IF(nomemp5=" ", " ",IF(investigadorstotal4_2017="","",investigadorstotal4_2017))</f>
        <v/>
      </c>
      <c r="BC6" s="177" t="str">
        <f>IF(nomemp5=" ", " ",IF(investigadorstotal4_2018="","",investigadorstotal4_2018))</f>
        <v/>
      </c>
      <c r="BD6" s="177" t="str">
        <f>IF(nomemp5=" ", " ",IF(investigadorstotal4_2019="","",investigadorstotal4_2019))</f>
        <v/>
      </c>
      <c r="BE6" s="177" t="str">
        <f>IF(nomemp5=" ", " ",IF(investigadorstotal4_2020="","",investigadorstotal4_2020))</f>
        <v/>
      </c>
      <c r="BF6" s="177" t="str">
        <f>IF(nomemp5=" ", " ",IF(investigadorstotal4_2021="","",investigadorstotal4_2021))</f>
        <v/>
      </c>
      <c r="BG6" s="177" t="str">
        <f>IF(nomemp5=" ", " ",IF(investigadorstotal4_2022="","",investigadorstotal4_2022))</f>
        <v/>
      </c>
      <c r="BH6" s="177" t="str">
        <f>IF(nomemp5=" ", " ",IF(investigadorstotal4_2023="","",investigadorstotal4_2023))</f>
        <v/>
      </c>
      <c r="BI6" s="177" t="str">
        <f>IF(nomemp5=" ", " ",IF(certificacio4_2016="","",certificacio4_2016))</f>
        <v/>
      </c>
      <c r="BJ6" s="177" t="str">
        <f>IF(nomemp5=" ", " ",IF(certificacio4_2017="","",certificacio4_2017))</f>
        <v/>
      </c>
      <c r="BK6" s="177" t="str">
        <f>IF(nomemp5=" ", " ",IF(certificacio4_2018="","",certificacio4_2018))</f>
        <v/>
      </c>
      <c r="BL6" s="177" t="str">
        <f>IF(nomemp5=" "," ",IF(certificacio4_2019="","",certificacio4_2019))</f>
        <v/>
      </c>
      <c r="BM6" s="177" t="str">
        <f>IF(nomemp5=" ", " ",IF(certificacio4_2020="","",certificacio4_2020))</f>
        <v/>
      </c>
      <c r="BN6" s="177" t="str">
        <f>IF(nomemp5=" ", " ",IF(certificacio4_2021="","",certificacio4_2021))</f>
        <v/>
      </c>
      <c r="BO6" s="177" t="str">
        <f>IF(nomemp5=" ", " ",IF(certificacio4_2022="","",certificacio4_2022))</f>
        <v/>
      </c>
      <c r="BP6" s="177" t="str">
        <f>IF(nomemp5=" ", " ",IF(certificacio4_2023="","",certificacio4_2023))</f>
        <v/>
      </c>
      <c r="BQ6" s="177" t="str">
        <f>IF(nomemp5="","",IF(ipublica4_2016="","",ipublica4_2016))</f>
        <v/>
      </c>
      <c r="BR6" s="177" t="str">
        <f>IF(nomemp5="","",IF(ipublica4_2017="","",ipublica4_2017))</f>
        <v/>
      </c>
      <c r="BS6" s="177" t="str">
        <f>IF(nomemp5="","",IF(ipublica4_2018="","",ipublica4_2018))</f>
        <v/>
      </c>
      <c r="BT6" s="177" t="str">
        <f>IF(nomemp5="","",IF(ipublica4_2019="","",ipublica4_2019))</f>
        <v/>
      </c>
      <c r="BU6" s="177" t="str">
        <f>IF(nomemp5="","",IF(ipublica4_2020="","",ipublica4_2020))</f>
        <v/>
      </c>
      <c r="BV6" s="177" t="str">
        <f>IF(nomemp5="","",IF(ipublica4_2021="","",ipublica4_2021))</f>
        <v/>
      </c>
      <c r="BW6" s="177" t="str">
        <f>IF(nomemp5="","",IF(ipublica4_2022="","",ipublica4_2022))</f>
        <v/>
      </c>
      <c r="BX6" s="177" t="str">
        <f>IF(nomemp5="","",IF(ipublica4_2023="","",ipublica4_2023))</f>
        <v/>
      </c>
      <c r="BY6" s="177" t="str">
        <f>IF(nomemp5="","",IF(iprivada4_2016="","",iprivada4_2016))</f>
        <v/>
      </c>
      <c r="BZ6" s="177" t="str">
        <f>IF(nomemp5="","",IF(iprivada4_2017="","",iprivada4_2017))</f>
        <v/>
      </c>
      <c r="CA6" s="177" t="str">
        <f>IF(nomemp5="","",IF(iprivada4_2018="","",iprivada4_2018))</f>
        <v/>
      </c>
      <c r="CB6" s="177" t="str">
        <f>IF(nomemp5="","",IF(iprivada4_2019="","",iprivada4_2019))</f>
        <v/>
      </c>
      <c r="CC6" s="177" t="str">
        <f>IF(nomemp5="","",IF(iprivada4_2020="","",iprivada4_2020))</f>
        <v/>
      </c>
      <c r="CD6" s="177" t="str">
        <f>IF(nomemp5="","",IF(iprivada4_2021="","",iprivada4_2021))</f>
        <v/>
      </c>
      <c r="CE6" s="177" t="str">
        <f>IF(nomemp5="","",IF(iprivada4_2022="","",iprivada4_2022))</f>
        <v/>
      </c>
      <c r="CF6" s="177" t="str">
        <f>IF(nomemp5="","",IF(iprivada4_2023="","",iprivada4_2023))</f>
        <v/>
      </c>
      <c r="CG6" s="177" t="str">
        <f>IF(nomemp5="","",IF(investigadorstotalprojecte4_2016="","",investigadorstotalprojecte4_2016))</f>
        <v/>
      </c>
      <c r="CH6" s="177" t="str">
        <f>IF(nomemp5="","",IF(investigadorstotalprojecte4_2017="","",investigadorstotalprojecte4_2017))</f>
        <v/>
      </c>
      <c r="CI6" s="177" t="str">
        <f>IF(nomemp5="","",IF(investigadorstotalprojecte4_2018="","",investigadorstotalprojecte4_2018))</f>
        <v/>
      </c>
      <c r="CJ6" s="177" t="str">
        <f>IF(nomemp5="","",IF(investigadorstotalprojecte4_2019="","",investigadorstotalprojecte4_2019))</f>
        <v/>
      </c>
      <c r="CK6" s="177" t="str">
        <f>IF(nomemp5="","",IF(investigadorstotalprojecte4_2020="","",investigadorstotalprojecte4_2020))</f>
        <v/>
      </c>
      <c r="CL6" s="177" t="str">
        <f>IF(nomemp5="","",IF(investigadorstotalprojecte4_2021="","",investigadorstotalprojecte4_2021))</f>
        <v/>
      </c>
      <c r="CM6" s="177" t="str">
        <f>IF(nomemp5="","",IF(investigadorstotalprojecte4_2022="","",investigadorstotalprojecte4_2022))</f>
        <v/>
      </c>
      <c r="CN6" s="177" t="str">
        <f>IF(nomemp5="","",IF(investigadorstotalprojecte4_2023="","",investigadorstotalprojecte4_2023))</f>
        <v/>
      </c>
      <c r="CO6" s="177" t="str">
        <f>IF(nomemp5="","",IF(investigadorshomesprojecte4_2016="","",investigadorshomesprojecte4_2016))</f>
        <v/>
      </c>
      <c r="CP6" s="177" t="str">
        <f>IF(nomemp5="","",IF(investigadorshomesprojecte4_2017="","",investigadorshomesprojecte4_2017))</f>
        <v/>
      </c>
      <c r="CQ6" s="177" t="str">
        <f>IF(nomemp5="","",IF(investigadorshomesprojecte4_2018="","",investigadorshomesprojecte4_2018))</f>
        <v/>
      </c>
      <c r="CR6" s="177" t="str">
        <f>IF(nomemp5="","",IF(investigadorshomesprojecte4_2019="","",investigadorshomesprojecte4_2019))</f>
        <v/>
      </c>
      <c r="CS6" s="177" t="str">
        <f>IF(nomemp5="","",IF(investigadorshomesprojecte4_2020="","",investigadorshomesprojecte4_2020))</f>
        <v/>
      </c>
      <c r="CT6" s="177" t="str">
        <f>IF(nomemp5="","",IF(investigadorshomesprojecte4_2021="","",investigadorshomesprojecte4_2021))</f>
        <v/>
      </c>
      <c r="CU6" s="177" t="str">
        <f>IF(nomemp5="","",IF(investigadorshomesprojecte4_2022="","",investigadorshomesprojecte4_2022))</f>
        <v/>
      </c>
      <c r="CV6" s="177" t="str">
        <f>IF(nomemp5="","",IF(investigadorshomesprojecte4_2023="","",investigadorshomesprojecte4_2023))</f>
        <v/>
      </c>
      <c r="CW6" s="177" t="str">
        <f>IF(nomemp5="","",IF(investigadorsdonesprojecte4_2016="","",investigadorsdonesprojecte4_2016))</f>
        <v/>
      </c>
      <c r="CX6" s="177" t="str">
        <f>IF(nomemp5="","",IF(investigadorsdonesprojecte4_2017="","",investigadorsdonesprojecte4_2017))</f>
        <v/>
      </c>
      <c r="CY6" s="177" t="str">
        <f>IF(nomemp5="","",IF(investigadorsdonesprojecte4_2018="","",investigadorsdonesprojecte4_2018))</f>
        <v/>
      </c>
      <c r="CZ6" s="177" t="str">
        <f>IF(nomemp5="","",IF(investigadorsdonesprojecte4_2019="","",investigadorsdonesprojecte4_2019))</f>
        <v/>
      </c>
      <c r="DA6" s="177" t="str">
        <f>IF(nomemp5="","",IF(investigadorsdonesprojecte4_2020="","",investigadorsdonesprojecte4_2020))</f>
        <v/>
      </c>
      <c r="DB6" s="177" t="str">
        <f>IF(nomemp5="","",IF(investigadorsdonesprojecte4_2021="","",investigadorsdonesprojecte4_2021))</f>
        <v/>
      </c>
      <c r="DC6" s="177" t="str">
        <f>IF(nomemp5="","",IF(investigadorsdonesprojecte4_2022="","",investigadorsdonesprojecte4_2022))</f>
        <v/>
      </c>
      <c r="DD6" s="177" t="str">
        <f>IF(nomemp5="","",IF(investigadorsdonesprojecte4_2023="","",investigadorsdonesprojecte4_2023))</f>
        <v/>
      </c>
      <c r="DE6" s="177" t="str">
        <f>IF(nomemp5="","",IF(empresesprivades4_2017="","",empresesprivades4_2017))</f>
        <v/>
      </c>
      <c r="DF6" s="177" t="str">
        <f>IF(nomemp5="","",IF(empresesprivades4_2017="","",empresesprivades4_2017))</f>
        <v/>
      </c>
      <c r="DG6" s="177" t="str">
        <f>IF(nomemp5="","",IF(empresesprivades4_2018="","",empresesprivades4_2018))</f>
        <v/>
      </c>
      <c r="DH6" s="177" t="str">
        <f>IF(nomemp5="","",IF(empresesprivades4_2019="","",empresesprivades4_2019))</f>
        <v/>
      </c>
      <c r="DI6" s="177" t="str">
        <f>IF(nomemp5="","",IF(empresesprivades4_2020="","",empresesprivades4_2020))</f>
        <v/>
      </c>
      <c r="DJ6" s="177" t="str">
        <f>IF(nomemp5="","",IF(empresesprivades4_2021="","",empresesprivades4_2021))</f>
        <v/>
      </c>
      <c r="DK6" s="177" t="str">
        <f>IF(nomemp5="","",IF(empresesprivades4_2022="","",empresesprivades4_2022))</f>
        <v/>
      </c>
      <c r="DL6" s="177" t="str">
        <f>IF(nomemp5="","",IF(empresesprivades4_2023="","",empresesprivades4_2023))</f>
        <v/>
      </c>
      <c r="DM6" s="177" t="str">
        <f>IF(nomemp5="","",IF(empresespubliques4_2017="","",empresespubliques4_2017))</f>
        <v/>
      </c>
      <c r="DN6" s="177" t="str">
        <f>IF(nomemp5="","",IF(empresespubliques4_2017="","",empresespubliques4_2017))</f>
        <v/>
      </c>
      <c r="DO6" s="177" t="str">
        <f>IF(nomemp5="","",IF(empresespubliques4_2018="","",empresespubliques4_2018))</f>
        <v/>
      </c>
      <c r="DP6" s="177" t="str">
        <f>IF(nomemp5="","",IF(empresespubliques4_2019="","",empresespubliques4_2019))</f>
        <v/>
      </c>
      <c r="DQ6" s="177" t="str">
        <f>IF(nomemp5="","",IF(empresespubliques4_2020="","",empresespubliques4_2020))</f>
        <v/>
      </c>
      <c r="DR6" s="177" t="str">
        <f>IF(nomemp5="","",IF(empresespubliques4_2021="","",empresespubliques4_2021))</f>
        <v/>
      </c>
      <c r="DS6" s="177" t="str">
        <f>IF(nomemp5="","",IF(empresespubliques4_2022="","",empresespubliques4_2022))</f>
        <v/>
      </c>
      <c r="DT6" s="177" t="str">
        <f>IF(nomemp5="","",IF(empresespubliques4_2023="","",empresespubliques4_2023))</f>
        <v/>
      </c>
      <c r="DU6" s="177" t="str">
        <f>IF(nomemp5="","",IF(centrestecnologics4_2017="","",centrestecnologics4_2017))</f>
        <v/>
      </c>
      <c r="DV6" s="177" t="str">
        <f>IF(nomemp5="","",IF(centrestecnologics4_2017="","",centrestecnologics4_2017))</f>
        <v/>
      </c>
      <c r="DW6" s="177" t="str">
        <f>IF(nomemp5="","",IF(centrestecnologics4_2018="","",centrestecnologics4_2018))</f>
        <v/>
      </c>
      <c r="DX6" s="177" t="str">
        <f>IF(nomemp5="","",IF(centrestecnologics4_2019="","",centrestecnologics4_2019))</f>
        <v/>
      </c>
      <c r="DY6" s="177" t="str">
        <f>IF(nomemp5="","",IF(centrestecnologics4_2020="","",centrestecnologics4_2020))</f>
        <v/>
      </c>
      <c r="DZ6" s="177" t="str">
        <f>IF(nomemp5="","",IF(centrestecnologics4_2021="","",centrestecnologics4_2021))</f>
        <v/>
      </c>
      <c r="EA6" s="177" t="str">
        <f>IF(nomemp5="","",IF(centrestecnologics4_2022="","",centrestecnologics4_2022))</f>
        <v/>
      </c>
      <c r="EB6" s="177" t="str">
        <f>IF(nomemp5="","",IF(centrestecnologics4_2023="","",centrestecnologics4_2023))</f>
        <v/>
      </c>
      <c r="EC6" s="177" t="str">
        <f>IF(nomemp5="","",IF(universitats4_2017="","",universitats4_2017))</f>
        <v/>
      </c>
      <c r="ED6" s="177" t="str">
        <f>IF(nomemp5="","",IF(universitats4_2017="","",universitats4_2017))</f>
        <v/>
      </c>
      <c r="EE6" s="177" t="str">
        <f>IF(nomemp5="","",IF(universitats4_2018="","",universitats4_2018))</f>
        <v/>
      </c>
      <c r="EF6" s="177" t="str">
        <f>IF(nomemp5="","",IF(universitats4_2019="","",universitats4_2019))</f>
        <v/>
      </c>
      <c r="EG6" s="177" t="str">
        <f>IF(nomemp5="","",IF(universitats4_2020="","",universitats4_2020))</f>
        <v/>
      </c>
      <c r="EH6" s="177" t="str">
        <f>IF(nomemp5="","",IF(universitats4_2021="","",universitats4_2021))</f>
        <v/>
      </c>
      <c r="EI6" s="177" t="str">
        <f>IF(nomemp5="","",IF(universitats4_2022="","",universitats4_2022))</f>
        <v/>
      </c>
      <c r="EJ6" s="177" t="str">
        <f>IF(nomemp5="","",IF(universitats4_2023="","",universitats4_2023))</f>
        <v/>
      </c>
      <c r="EK6" s="177" t="str">
        <f>IF(nomemp5="","",IF(centresrecerca4_2017="","",centresrecerca4_2017))</f>
        <v/>
      </c>
      <c r="EL6" s="177" t="str">
        <f>IF(nomemp5="","",IF(centresrecerca4_2017="","",centresrecerca4_2017))</f>
        <v/>
      </c>
      <c r="EM6" s="177" t="str">
        <f>IF(nomemp5="","",IF(centresrecerca4_2018="","",centresrecerca4_2018))</f>
        <v/>
      </c>
      <c r="EN6" s="177" t="str">
        <f>IF(nomemp5="","",IF(centresrecerca4_2019="","",centresrecerca4_2019))</f>
        <v/>
      </c>
      <c r="EO6" s="177" t="str">
        <f>IF(nomemp5="","",IF(centresrecerca4_2020="","",centresrecerca4_2020))</f>
        <v/>
      </c>
      <c r="EP6" s="177" t="str">
        <f>IF(nomemp5="","",IF(centresrecerca4_2021="","",centresrecerca4_2021))</f>
        <v/>
      </c>
      <c r="EQ6" s="177" t="str">
        <f>IF(nomemp5="","",IF(centresrecerca4_2022="","",centresrecerca4_2022))</f>
        <v/>
      </c>
      <c r="ER6" s="177" t="str">
        <f>IF(nomemp5="","",IF(centresrecerca4_2023="","",centresrecerca4_2023))</f>
        <v/>
      </c>
      <c r="ES6" s="177" t="str">
        <f>IF(nomemp5="","",IF(infraestructures4_2017="","",infraestructures4_2017))</f>
        <v/>
      </c>
      <c r="ET6" s="177" t="str">
        <f>IF(nomemp5="","",IF(infraestructures4_2017="","",infraestructures4_2017))</f>
        <v/>
      </c>
      <c r="EU6" s="177" t="str">
        <f>IF(nomemp5="","",IF(infraestructures4_2018="","",infraestructures4_2018))</f>
        <v/>
      </c>
      <c r="EV6" s="177" t="str">
        <f>IF(nomemp5="","",IF(infraestructures4_2019="","",infraestructures4_2019))</f>
        <v/>
      </c>
      <c r="EW6" s="177" t="str">
        <f>IF(nomemp5="","",IF(infraestructures4_2020="","",infraestructures4_2020))</f>
        <v/>
      </c>
      <c r="EX6" s="177" t="str">
        <f>IF(nomemp5="","",IF(infraestructures4_2021="","",infraestructures4_2021))</f>
        <v/>
      </c>
      <c r="EY6" s="177" t="str">
        <f>IF(nomemp5="","",IF(infraestructures4_2022="","",infraestructures4_2022))</f>
        <v/>
      </c>
      <c r="EZ6" s="177" t="str">
        <f>IF(nomemp5="","",IF(infraestructures4_2023="","",infraestructures4_2023))</f>
        <v/>
      </c>
      <c r="FA6" s="177" t="str">
        <f>IF(nomemp5="","",IF(spinoff4_2017="","",spinoff4_2017))</f>
        <v/>
      </c>
      <c r="FB6" s="177" t="str">
        <f>IF(nomemp5="","",IF(spinoff4_2017="","",spinoff4_2017))</f>
        <v/>
      </c>
      <c r="FC6" s="177" t="str">
        <f>IF(nomemp5="","",IF(spinoff4_2018="","",spinoff4_2018))</f>
        <v/>
      </c>
      <c r="FD6" s="177" t="str">
        <f>IF(nomemp5="","",IF(spinoff4_2019="","",spinoff4_2019))</f>
        <v/>
      </c>
      <c r="FE6" s="177" t="str">
        <f>IF(nomemp5="","",IF(spinoff4_2020="","",spinoff4_2020))</f>
        <v/>
      </c>
      <c r="FF6" s="177" t="str">
        <f>IF(nomemp5="","",IF(spinoff4_2021="","",spinoff4_2021))</f>
        <v/>
      </c>
      <c r="FG6" s="177" t="str">
        <f>IF(nomemp5="","",IF(spinoff4_2022="","",spinoff4_2022))</f>
        <v/>
      </c>
      <c r="FH6" s="177" t="str">
        <f>IF(nomemp5="","",IF(spinoff4_2023="","",spinoff4_2023))</f>
        <v/>
      </c>
      <c r="FI6" s="177" t="str">
        <f>IF(nomemp5="","",IF(patents4_2017="","",patents4_2017))</f>
        <v/>
      </c>
      <c r="FJ6" s="177" t="str">
        <f>IF(nomemp5="","",IF(patents4_2017="","",patents4_2017))</f>
        <v/>
      </c>
      <c r="FK6" s="177" t="str">
        <f>IF(nomemp5="","",IF(patents4_2018="","",patents4_2018))</f>
        <v/>
      </c>
      <c r="FL6" s="177" t="str">
        <f>IF(nomemp5="","",IF(patents4_2019="","",patents4_2019))</f>
        <v/>
      </c>
      <c r="FM6" s="177" t="str">
        <f>IF(nomemp5="","",IF(patents4_2020="","",patents4_2020))</f>
        <v/>
      </c>
      <c r="FN6" s="177" t="str">
        <f>IF(nomemp5="","",IF(patents4_2021="","",patents4_2021))</f>
        <v/>
      </c>
      <c r="FO6" s="177" t="str">
        <f>IF(nomemp5="","",IF(patents4_2022="","",patents4_2022))</f>
        <v/>
      </c>
      <c r="FP6" s="177" t="str">
        <f>IF(nomemp5="","",IF(patents4_2023="","",patents4_2023))</f>
        <v/>
      </c>
      <c r="FQ6" s="177" t="str">
        <f>IF(nomemp5="","",IF(marques4_2017="","",marques4_2017))</f>
        <v/>
      </c>
      <c r="FR6" s="177" t="str">
        <f>IF(nomemp5="","",IF(marques4_2017="","",marques4_2017))</f>
        <v/>
      </c>
      <c r="FS6" s="177" t="str">
        <f>IF(nomemp5="","",IF(marques4_2018="","",marques4_2018))</f>
        <v/>
      </c>
      <c r="FT6" s="177" t="str">
        <f>IF(nomemp5="","",IF(marques4_2019="","",marques4_2019))</f>
        <v/>
      </c>
      <c r="FU6" s="177" t="str">
        <f>IF(nomemp5="","",IF(marques4_2020="","",marques4_2020))</f>
        <v/>
      </c>
      <c r="FV6" s="177" t="str">
        <f>IF(nomemp5="","",IF(marques4_2021="","",marques4_2021))</f>
        <v/>
      </c>
      <c r="FW6" s="177" t="str">
        <f>IF(nomemp5="","",IF(marques4_2022="","",marques4_2022))</f>
        <v/>
      </c>
      <c r="FX6" s="177" t="str">
        <f>IF(nomemp5="","",IF(marques4_2023="","",marques4_2023))</f>
        <v/>
      </c>
      <c r="FY6" s="177" t="str">
        <f>IF(nomemp5="","",IF(innoven4_2017="","",innoven4_2017))</f>
        <v/>
      </c>
      <c r="FZ6" s="177" t="str">
        <f>IF(nomemp5="","",IF(innoven4_2017="","",innoven4_2017))</f>
        <v/>
      </c>
      <c r="GA6" s="177" t="str">
        <f>IF(nomemp5="","",IF(innoven4_2018="","",innoven4_2018))</f>
        <v/>
      </c>
      <c r="GB6" s="177" t="str">
        <f>IF(nomemp5="","",IF(innoven4_2019="","",innoven4_2019))</f>
        <v/>
      </c>
      <c r="GC6" s="177" t="str">
        <f>IF(nomemp5="","",IF(innoven4_2020="","",innoven4_2020))</f>
        <v/>
      </c>
      <c r="GD6" s="177" t="str">
        <f>IF(nomemp5="","",IF(innoven4_2021="","",innoven4_2021))</f>
        <v/>
      </c>
      <c r="GE6" s="177" t="str">
        <f>IF(nomemp5="","",IF(innoven4_2022="","",innoven4_2022))</f>
        <v/>
      </c>
      <c r="GF6" s="177" t="str">
        <f>IF(nomemp5="","",IF(innoven4_2023="","",innoven4_2023))</f>
        <v/>
      </c>
      <c r="GG6" s="177" t="str">
        <f>IF(nomemp5="","",IF(llocsdetreball4_2017="","",llocsdetreball4_2017))</f>
        <v/>
      </c>
      <c r="GH6" s="177" t="str">
        <f>IF(nomemp5="","",IF(llocsdetreball4_2017="","",llocsdetreball4_2017))</f>
        <v/>
      </c>
      <c r="GI6" s="177" t="str">
        <f>IF(nomemp5="","",IF(llocsdetreball4_2018="","",llocsdetreball4_2018))</f>
        <v/>
      </c>
      <c r="GJ6" s="177" t="str">
        <f>IF(nomemp5="","",IF(llocsdetreball4_2019="","",llocsdetreball4_2019))</f>
        <v/>
      </c>
      <c r="GK6" s="177" t="str">
        <f>IF(nomemp5="","",IF(llocsdetreball4_2020="","",llocsdetreball4_2020))</f>
        <v/>
      </c>
      <c r="GL6" s="177" t="str">
        <f>IF(nomemp5="","",IF(llocsdetreball4_2021="","",llocsdetreball4_2021))</f>
        <v/>
      </c>
      <c r="GM6" s="177" t="str">
        <f>IF(nomemp5="","",IF(llocsdetreball4_2022="","",llocsdetreball4_2022))</f>
        <v/>
      </c>
      <c r="GN6" s="177" t="str">
        <f>IF(nomemp5="","",IF(llocsdetreball4_2023="","",llocsdetreball4_2023))</f>
        <v/>
      </c>
      <c r="GO6" s="177" t="str">
        <f>IF(nomemp5="","",IF(formacio4_2017="","",formacio4_2017))</f>
        <v/>
      </c>
      <c r="GP6" s="177" t="str">
        <f>IF(nomemp5="","",IF(formacio4_2017="","",formacio4_2017))</f>
        <v/>
      </c>
      <c r="GQ6" s="177" t="str">
        <f>IF(nomemp5="","",IF(formacio4_2018="","",formacio4_2018))</f>
        <v/>
      </c>
      <c r="GR6" s="177" t="str">
        <f>IF(nomemp5="","",IF(formacio4_2019="","",formacio4_2019))</f>
        <v/>
      </c>
      <c r="GS6" s="177" t="str">
        <f>IF(nomemp5="","",IF(formacio4_2020="","",formacio4_2020))</f>
        <v/>
      </c>
      <c r="GT6" s="177" t="str">
        <f>IF(nomemp5="","",IF(formacio4_2021="","",formacio4_2021))</f>
        <v/>
      </c>
      <c r="GU6" s="177" t="str">
        <f>IF(nomemp5="","",IF(formacio4_2022="","",formacio4_2022))</f>
        <v/>
      </c>
      <c r="GV6" s="177" t="str">
        <f>IF(nomemp5="","",IF(formacio4_2023="","",formacio4_2023))</f>
        <v/>
      </c>
      <c r="GW6" s="177" t="str">
        <f>IF(nomemp5="","",IF(ingressos4_2017="","",ingressos4_2017))</f>
        <v/>
      </c>
      <c r="GX6" s="177" t="str">
        <f>IF(nomemp5="","",IF(ingressos4_2017="","",ingressos4_2017))</f>
        <v/>
      </c>
      <c r="GY6" s="177" t="str">
        <f>IF(nomemp5="","",IF(ingressos4_2018="","",ingressos4_2018))</f>
        <v/>
      </c>
      <c r="GZ6" s="177" t="str">
        <f>IF(nomemp5="","",IF(ingressos4_2019="","",ingressos4_2019))</f>
        <v/>
      </c>
      <c r="HA6" s="177" t="str">
        <f>IF(nomemp5="","",IF(ingressos4_2020="","",ingressos4_2020))</f>
        <v/>
      </c>
      <c r="HB6" s="177" t="str">
        <f>IF(nomemp5="","",IF(ingressos4_2021="","",ingressos4_2021))</f>
        <v/>
      </c>
      <c r="HC6" s="177" t="str">
        <f>IF(nomemp5="","",IF(ingressos4_2022="","",ingressos4_2022))</f>
        <v/>
      </c>
      <c r="HD6" s="177" t="str">
        <f>IF(nomemp5="","",IF(ingressos4_2023="","",ingressos4_2023))</f>
        <v/>
      </c>
      <c r="HE6" s="177" t="str">
        <f>IF(nomemp5="","",IF(exportacions4_2017="","",exportacions4_2017))</f>
        <v/>
      </c>
      <c r="HF6" s="177" t="str">
        <f>IF(nomemp5="","",IF(exportacions4_2017="","",exportacions4_2017))</f>
        <v/>
      </c>
      <c r="HG6" s="177" t="str">
        <f>IF(nomemp5="","",IF(exportacions4_2018="","",exportacions4_2018))</f>
        <v/>
      </c>
      <c r="HH6" s="177" t="str">
        <f>IF(nomemp5="","",IF(exportacions4_2019="","",exportacions4_2019))</f>
        <v/>
      </c>
      <c r="HI6" s="177" t="str">
        <f>IF(nomemp5="","",IF(exportacions4_2020="","",exportacions4_2020))</f>
        <v/>
      </c>
      <c r="HJ6" s="177" t="str">
        <f>IF(nomemp5="","",IF(exportacions4_2021="","",exportacions4_2021))</f>
        <v/>
      </c>
      <c r="HK6" s="177" t="str">
        <f>IF(nomemp5="","",IF(exportacions4_2022="","",exportacions4_2022))</f>
        <v/>
      </c>
      <c r="HL6" s="177" t="str">
        <f>IF(nomemp5="","",IF(exportacions4_2023="","",exportacions4_2023))</f>
        <v/>
      </c>
      <c r="HM6" s="177" t="str">
        <f>IF(nomemp5="","",IF(oportunitats4_2017="","",oportunitats4_2017))</f>
        <v/>
      </c>
      <c r="HN6" s="177" t="str">
        <f>IF(nomemp5="","",IF(oportunitats4_2017="","",oportunitats4_2017))</f>
        <v/>
      </c>
      <c r="HO6" s="177" t="str">
        <f>IF(nomemp5="","",IF(oportunitats4_2018="","",oportunitats4_2018))</f>
        <v/>
      </c>
      <c r="HP6" s="177" t="str">
        <f>IF(nomemp5="","",IF(oportunitats4_2019="","",oportunitats4_2019))</f>
        <v/>
      </c>
      <c r="HQ6" s="177" t="str">
        <f>IF(nomemp5="","",IF(oportunitats4_2020="","",oportunitats4_2020))</f>
        <v/>
      </c>
      <c r="HR6" s="177" t="str">
        <f>IF(nomemp5="","",IF(oportunitats4_2021="","",oportunitats4_2021))</f>
        <v/>
      </c>
      <c r="HS6" s="177" t="str">
        <f>IF(nomemp5="","",IF(oportunitats4_2022="","",oportunitats4_2022))</f>
        <v/>
      </c>
      <c r="HT6" s="177" t="str">
        <f>IF(nomemp5="","",IF(oportunitats4_2023="","",oportunitats4_2023))</f>
        <v/>
      </c>
      <c r="HU6" s="177" t="str">
        <f>IF(nomemp5="","",IF(productivitat4_2017="","",productivitat4_2017))</f>
        <v/>
      </c>
      <c r="HV6" s="177" t="str">
        <f>IF(nomemp5="","",IF(productivitat4_2017="","",productivitat4_2017))</f>
        <v/>
      </c>
      <c r="HW6" s="177" t="str">
        <f>IF(nomemp5="","",IF(productivitat4_2018="","",productivitat4_2018))</f>
        <v/>
      </c>
      <c r="HX6" s="177" t="str">
        <f>IF(nomemp5="","",IF(productivitat4_2019="","",productivitat4_2019))</f>
        <v/>
      </c>
      <c r="HY6" s="177" t="str">
        <f>IF(nomemp5="","",IF(productivitat4_2020="","",productivitat4_2020))</f>
        <v/>
      </c>
      <c r="HZ6" s="177" t="str">
        <f>IF(nomemp5="","",IF(productivitat4_2021="","",productivitat4_2021))</f>
        <v/>
      </c>
      <c r="IA6" s="177" t="str">
        <f>IF(nomemp5="","",IF(productivitat4_2022="","",productivitat4_2022))</f>
        <v/>
      </c>
      <c r="IB6" s="177" t="str">
        <f>IF(nomemp5="","",IF(productivitat4_2023="","",productivitat4_2023))</f>
        <v/>
      </c>
      <c r="IC6" s="177" t="str">
        <f>IF(nomemp5="","",IF(aigua4_2017="","",aigua4_2017))</f>
        <v/>
      </c>
      <c r="ID6" s="177" t="str">
        <f>IF(nomemp5="","",IF(aigua4_2017="","",aigua4_2017))</f>
        <v/>
      </c>
      <c r="IE6" s="177" t="str">
        <f>IF(nomemp5="","",IF(aigua4_2018="","",aigua4_2018))</f>
        <v/>
      </c>
      <c r="IF6" s="177" t="str">
        <f>IF(nomemp5="","",IF(aigua4_2019="","",aigua4_2019))</f>
        <v/>
      </c>
      <c r="IG6" s="177" t="str">
        <f>IF(nomemp5="","",IF(aigua4_2020="","",aigua4_2020))</f>
        <v/>
      </c>
      <c r="IH6" s="177" t="str">
        <f>IF(nomemp5="","",IF(aigua4_2021="","",aigua4_2021))</f>
        <v/>
      </c>
      <c r="II6" s="177" t="str">
        <f>IF(nomemp5="","",IF(aigua4_2022="","",aigua4_2022))</f>
        <v/>
      </c>
      <c r="IJ6" s="177" t="str">
        <f>IF(nomemp5="","",IF(aigua4_2023="","",aigua4_2023))</f>
        <v/>
      </c>
      <c r="IK6" s="177" t="str">
        <f>IF(nomemp5="","",IF(energia4_2017="","",energia4_2017))</f>
        <v/>
      </c>
      <c r="IL6" s="177" t="str">
        <f>IF(nomemp5="","",IF(energia4_2017="","",energia4_2017))</f>
        <v/>
      </c>
      <c r="IM6" s="177" t="str">
        <f>IF(nomemp5="","",IF(energia4_2018="","",energia4_2018))</f>
        <v/>
      </c>
      <c r="IN6" s="177" t="str">
        <f>IF(nomemp5="","",IF(energia4_2019="","",energia4_2019))</f>
        <v/>
      </c>
      <c r="IO6" s="177" t="str">
        <f>IF(nomemp5="","",IF(energia4_2020="","",energia4_2020))</f>
        <v/>
      </c>
      <c r="IP6" s="177" t="str">
        <f>IF(nomemp5="","",IF(energia4_2021="","",energia4_2021))</f>
        <v/>
      </c>
      <c r="IQ6" s="177" t="str">
        <f>IF(nomemp5="","",IF(energia4_2022="","",energia4_2022))</f>
        <v/>
      </c>
      <c r="IR6" s="177" t="str">
        <f>IF(nomemp5="","",IF(energia4_2023="","",energia4_2023))</f>
        <v/>
      </c>
      <c r="IS6" s="177" t="str">
        <f>IF(nomemp5="","",IF(emissions4_2017="","",emissions4_2017))</f>
        <v/>
      </c>
      <c r="IT6" s="177" t="str">
        <f>IF(nomemp5="","",IF(emissions4_2017="","",emissions4_2017))</f>
        <v/>
      </c>
      <c r="IU6" s="177" t="str">
        <f>IF(nomemp5="","",IF(emissions4_2018="","",emissions4_2018))</f>
        <v/>
      </c>
      <c r="IV6" s="177" t="str">
        <f>IF(nomemp5="","",IF(emissions4_2019="","",emissions4_2019))</f>
        <v/>
      </c>
      <c r="IW6" s="177" t="str">
        <f>IF(nomemp5="","",IF(emissions4_2020="","",emissions4_2020))</f>
        <v/>
      </c>
      <c r="IX6" s="177" t="str">
        <f>IF(nomemp5="","",IF(emissions4_2021="","",emissions4_2021))</f>
        <v/>
      </c>
      <c r="IY6" s="177" t="str">
        <f>IF(nomemp5="","",IF(emissions4_2022="","",emissions4_2022))</f>
        <v/>
      </c>
      <c r="IZ6" s="177" t="str">
        <f>IF(nomemp5="","",IF(emissions4_2023="","",emissions4_2023))</f>
        <v/>
      </c>
      <c r="JA6" s="177" t="str">
        <f>IF(nomemp5="","",IF(residus4_2017="","",residus4_2017))</f>
        <v/>
      </c>
      <c r="JB6" s="177" t="str">
        <f>IF(nomemp5="","",IF(residus4_2017="","",residus4_2017))</f>
        <v/>
      </c>
      <c r="JC6" s="177" t="str">
        <f>IF(nomemp5="","",IF(residus4_2018="","",residus4_2018))</f>
        <v/>
      </c>
      <c r="JD6" s="177" t="str">
        <f>IF(nomemp5="","",IF(residus4_2019="","",residus4_2019))</f>
        <v/>
      </c>
      <c r="JE6" s="177" t="str">
        <f>IF(nomemp5="","",IF(residus4_2020="","",residus4_2020))</f>
        <v/>
      </c>
      <c r="JF6" s="177" t="str">
        <f>IF(nomemp5="","",IF(residus4_2021="","",residus4_2021))</f>
        <v/>
      </c>
      <c r="JG6" s="177" t="str">
        <f>IF(nomemp5="","",IF(residus4_2022="","",residus4_2022))</f>
        <v/>
      </c>
      <c r="JH6" s="177" t="str">
        <f>IF(nomemp5="","",IF(residus4_2023="","",residus4_2023))</f>
        <v/>
      </c>
      <c r="JJ6" s="38"/>
      <c r="JK6" s="38"/>
      <c r="JL6" s="38"/>
    </row>
    <row r="7" spans="1:272" s="177" customFormat="1" x14ac:dyDescent="0.25">
      <c r="A7" s="177" t="str">
        <f>IF(nomemp6="","",codiexp1)</f>
        <v/>
      </c>
      <c r="B7" s="177" t="str">
        <f>UPPER(IF(nomemp6=" ", " ",nomemp6))</f>
        <v/>
      </c>
      <c r="C7" s="177" t="str">
        <f>UPPER(IF(nif_6= " ", " ", nif_6))</f>
        <v/>
      </c>
      <c r="D7" s="177" t="str">
        <f>IF(nomemp6="", "",UPPER(IF(codiparticipant5="","",codiparticipant5)))</f>
        <v/>
      </c>
      <c r="E7" s="177" t="str">
        <f>IF(nomemp6="", "",IF(ajudes5_2016="", "",ajudes5_2016))</f>
        <v/>
      </c>
      <c r="F7" s="177" t="str">
        <f>IF(nomemp6="", "",IF(ajudes5_2017="", "",ajudes5_2017))</f>
        <v/>
      </c>
      <c r="G7" s="177" t="str">
        <f>IF(nomemp6="",  "",IF(ajudes5_2018="", "",ajudes5_2018))</f>
        <v/>
      </c>
      <c r="H7" s="177" t="str">
        <f>IF(nomemp6="", "",IF(ajudes5_2019="", "",ajudes5_2019))</f>
        <v/>
      </c>
      <c r="I7" s="177" t="str">
        <f>IF(nomemp6="", "",IF(ajudes5_2020="", "",ajudes5_2020))</f>
        <v/>
      </c>
      <c r="J7" s="177" t="str">
        <f>IF(nomemp6="", "",IF(ajudes5_2021="", "",ajudes5_2021))</f>
        <v/>
      </c>
      <c r="K7" s="177" t="str">
        <f>IF(nomemp6="", "",IF(ajudes5_2022="", "",ajudes5_2022))</f>
        <v/>
      </c>
      <c r="L7" s="177" t="str">
        <f>IF(nomemp6="", "",IF(ajudes5_2023="", "",ajudes5_2023))</f>
        <v/>
      </c>
      <c r="M7" s="177" t="str">
        <f>IF(nomemp6= " ", " ", IF(subvencions5_2016="","",subvencions5_2016))</f>
        <v/>
      </c>
      <c r="N7" s="177" t="str">
        <f>IF(nomemp6= " ", " ", IF(subvencions5_2017="","",subvencions5_2017))</f>
        <v/>
      </c>
      <c r="O7" s="177" t="str">
        <f>IF(nomemp6= " ", " ", IF(subvencions5_2018="","",subvencions5_2018))</f>
        <v/>
      </c>
      <c r="P7" s="177" t="str">
        <f>IF(nomemp6= " ", " ", IF(subvencions5_2019="","",subvencions5_2019))</f>
        <v/>
      </c>
      <c r="Q7" s="177" t="str">
        <f>IF(nomemp6= " ", " ", IF(subvencions5_2020="","",subvencions5_2020))</f>
        <v/>
      </c>
      <c r="R7" s="177" t="str">
        <f>IF(nomemp6= " ", " ", IF(subvencions5_2021="","",subvencions5_2021))</f>
        <v/>
      </c>
      <c r="S7" s="177" t="str">
        <f>IF(nomemp6= " ", " ", IF(subvencions5_2022="","",subvencions5_2022))</f>
        <v/>
      </c>
      <c r="T7" s="177" t="str">
        <f>IF(nomemp6= " ", " ", IF(subvencions5_2023="","",subvencions5_2023))</f>
        <v/>
      </c>
      <c r="U7" s="177" t="str">
        <f>IF(nomemp6= " ", "",IF(irpivadaipublica5_2016="","",irpivadaipublica5_2016))</f>
        <v/>
      </c>
      <c r="V7" s="177" t="str">
        <f>IF(nomemp6= " ", "",IF(iprivadaipublica5_2017="","",iprivadaipublica5_2017))</f>
        <v/>
      </c>
      <c r="W7" s="177" t="str">
        <f>IF(nomemp6= " ", "",IF(iprivadaipublica5_2018="","",iprivadaipublica5_2018))</f>
        <v/>
      </c>
      <c r="X7" s="177" t="str">
        <f>IF(nomemp6= " ", "",IF(iprivadaipublica5_2019="","",iprivadaipublica5_2019))</f>
        <v/>
      </c>
      <c r="Y7" s="177" t="str">
        <f>IF(nomemp6= " ", "",IF(iprivadaipublica5_2020="","",iprivadaipublica5_2020))</f>
        <v/>
      </c>
      <c r="Z7" s="177" t="str">
        <f>IF(nomemp6= " ", "",IF(iprivadaipublica5_2021="","",iprivadaipublica5_2021))</f>
        <v/>
      </c>
      <c r="AA7" s="177" t="str">
        <f>IF(nomemp6= " ", "",IF(iprivadaipublica5_2022="","",iprivadaipublica5_2022))</f>
        <v/>
      </c>
      <c r="AB7" s="177" t="str">
        <f>IF(nomemp6= " ", "",IF(iprivadaipublica5_2023="","",iprivadaipublica5_2023))</f>
        <v/>
      </c>
      <c r="AC7" s="177" t="str">
        <f>IF(nomemp6="","",IF(copera5_2016="","",copera5_2016))</f>
        <v/>
      </c>
      <c r="AD7" s="177" t="str">
        <f>IF(nomemp6="","",IF(copera5_2017="","",copera5_2017))</f>
        <v/>
      </c>
      <c r="AE7" s="177" t="str">
        <f>IF(nomemp6="","",IF(copera5_2018="","",copera5_2018))</f>
        <v/>
      </c>
      <c r="AF7" s="177" t="str">
        <f>IF(nomemp6="","",IF(copera5_2019="","",copera5_2019))</f>
        <v/>
      </c>
      <c r="AG7" s="177" t="str">
        <f>IF(nomemp6="","",IF(copera5_2020="","",copera5_2020))</f>
        <v/>
      </c>
      <c r="AH7" s="177" t="str">
        <f>IF(nomemp6="","",IF(copera5_2021="","",copera5_2021))</f>
        <v/>
      </c>
      <c r="AI7" s="177" t="str">
        <f>IF(nomemp6="","",IF(copera5_2022="","",copera5_2022))</f>
        <v/>
      </c>
      <c r="AJ7" s="177" t="str">
        <f>IF(nomemp6="","",IF(copera5_2023="","",copera5_2023))</f>
        <v/>
      </c>
      <c r="AK7" s="177" t="str">
        <f>IF(nomemp6="","",IF(investigadorshomes5_2016="","",investigadorshomes5_2016))</f>
        <v/>
      </c>
      <c r="AL7" s="177" t="str">
        <f>IF(nomemp6="","",IF(investigadorshomes5_2017="","",investigadorshomes5_2017))</f>
        <v/>
      </c>
      <c r="AM7" s="177" t="str">
        <f>IF(nomemp6="","",IF(investigadorshomes5_2018="","",investigadorshomes5_2018))</f>
        <v/>
      </c>
      <c r="AN7" s="177" t="str">
        <f>IF(nomemp6="","",IF(investigadorshomes5_2019="","",investigadorshomes5_2019))</f>
        <v/>
      </c>
      <c r="AO7" s="177" t="str">
        <f>IF(nomemp6="","",IF(investigadorshomes5_2020="","",investigadorshomes5_2020))</f>
        <v/>
      </c>
      <c r="AP7" s="177" t="str">
        <f>IF(nomemp6="","",IF(investigadorshomes5_2021="","",investigadorshomes5_2021))</f>
        <v/>
      </c>
      <c r="AQ7" s="177" t="str">
        <f>IF(nomemp6="","",IF(investigadorshomes5_2022="","",investigadorshomes5_2022))</f>
        <v/>
      </c>
      <c r="AR7" s="177" t="str">
        <f>IF(nomemp6="","",IF(investigadorshomes5_2023="","",investigadorshomes5_2023))</f>
        <v/>
      </c>
      <c r="AS7" s="177" t="str">
        <f>IF(nomemp6="","",IF(investigadorsdones5_2016= "","",investigadorsdones5_2016))</f>
        <v/>
      </c>
      <c r="AT7" s="177" t="str">
        <f>IF(nomemp6="","",IF(investigadorsdones5_2017= "","",investigadorsdones5_2017))</f>
        <v/>
      </c>
      <c r="AU7" s="177" t="str">
        <f>IF(nomemp6="","",IF(investigadorsdones5_2018= "","",investigadorsdones5_2018))</f>
        <v/>
      </c>
      <c r="AV7" s="177" t="str">
        <f>IF(nomemp6="","",IF(investigadorsdones5_2019= "","",investigadorsdones5_2019))</f>
        <v/>
      </c>
      <c r="AW7" s="177" t="str">
        <f>IF(nomemp6="","",IF(investigadorsdones5_2020= "","",investigadorsdones5_2020))</f>
        <v/>
      </c>
      <c r="AX7" s="177" t="str">
        <f>IF(nomemp6="","",IF(investigadorsdones5_2021= "","",investigadorsdones5_2021))</f>
        <v/>
      </c>
      <c r="AY7" s="177" t="str">
        <f>IF(nomemp6="","",IF(investigadorsdones5_2022= "","",investigadorsdones5_2022))</f>
        <v/>
      </c>
      <c r="AZ7" s="177" t="str">
        <f>IF(nomemp6="","",IF(investigadorsdones5_2023= "","",investigadorsdones5_2023))</f>
        <v/>
      </c>
      <c r="BA7" s="177" t="str">
        <f>IF(nomemp6=" ", " ",IF(investigadorstotal5_2016="","",investigadorstotal5_2016))</f>
        <v/>
      </c>
      <c r="BB7" s="177" t="str">
        <f>IF(nomemp6=" ", " ",IF(investigadorstotal5_2017="","",investigadorstotal5_2017))</f>
        <v/>
      </c>
      <c r="BC7" s="177" t="str">
        <f>IF(nomemp6=" ", " ",IF(investigadorstotal5_2018="","",investigadorstotal5_2018))</f>
        <v/>
      </c>
      <c r="BD7" s="177" t="str">
        <f>IF(nomemp6=" ", " ",IF(investigadorstotal5_2019="","",investigadorstotal5_2019))</f>
        <v/>
      </c>
      <c r="BE7" s="177" t="str">
        <f>IF(nomemp6=" ", " ",IF(investigadorstotal5_2020="","",investigadorstotal5_2020))</f>
        <v/>
      </c>
      <c r="BF7" s="177" t="str">
        <f>IF(nomemp6=" ", " ",IF(investigadorstotal5_2021="","",investigadorstotal5_2021))</f>
        <v/>
      </c>
      <c r="BG7" s="177" t="str">
        <f>IF(nomemp6=" ", " ",IF(investigadorstotal5_2022="","",investigadorstotal5_2022))</f>
        <v/>
      </c>
      <c r="BH7" s="177" t="str">
        <f>IF(nomemp6=" ", " ",IF(investigadorstotal5_2023="","",investigadorstotal5_2023))</f>
        <v/>
      </c>
      <c r="BI7" s="177" t="str">
        <f>IF(nomemp6=" ", " ",IF(certificacio5_2016="","",certificacio5_2016))</f>
        <v/>
      </c>
      <c r="BJ7" s="177" t="str">
        <f>IF(nomemp6=" ", " ",IF(certificacio5_2017="","",certificacio5_2017))</f>
        <v/>
      </c>
      <c r="BK7" s="177" t="str">
        <f>IF(nomemp6=" ", " ",IF(certificacio5_2018="","",certificacio5_2018))</f>
        <v/>
      </c>
      <c r="BL7" s="177" t="str">
        <f>IF(nomemp6=" "," ",IF(certificacio5_2019="","",certificacio5_2019))</f>
        <v/>
      </c>
      <c r="BM7" s="177" t="str">
        <f>IF(nomemp6=" ", " ",IF(certificacio5_2020="","",certificacio5_2020))</f>
        <v/>
      </c>
      <c r="BN7" s="177" t="str">
        <f>IF(nomemp6=" ", " ",IF(certificacio5_2021="","",certificacio5_2021))</f>
        <v/>
      </c>
      <c r="BO7" s="177" t="str">
        <f>IF(nomemp6=" ", " ",IF(certificacio5_2022="","",certificacio5_2022))</f>
        <v/>
      </c>
      <c r="BP7" s="177" t="str">
        <f>IF(nomemp6=" ", " ",IF(certificacio5_2023="","",certificacio5_2023))</f>
        <v/>
      </c>
      <c r="BQ7" s="177" t="str">
        <f>IF(nomemp6="","",IF(ipublica5_2016="","",ipublica5_2016))</f>
        <v/>
      </c>
      <c r="BR7" s="177" t="str">
        <f>IF(nomemp6="","",IF(ipublica5_2017="","",ipublica5_2017))</f>
        <v/>
      </c>
      <c r="BS7" s="177" t="str">
        <f>IF(nomemp6="","",IF(ipublica5_2018="","",ipublica5_2018))</f>
        <v/>
      </c>
      <c r="BT7" s="177" t="str">
        <f>IF(nomemp6="","",IF(ipublica5_2019="","",ipublica5_2019))</f>
        <v/>
      </c>
      <c r="BU7" s="177" t="str">
        <f>IF(nomemp6="","",IF(ipublica5_2020="","",ipublica5_2020))</f>
        <v/>
      </c>
      <c r="BV7" s="177" t="str">
        <f>IF(nomemp6="","",IF(ipublica5_2021="","",ipublica5_2021))</f>
        <v/>
      </c>
      <c r="BW7" s="177" t="str">
        <f>IF(nomemp6="","",IF(ipublica5_2022="","",ipublica5_2022))</f>
        <v/>
      </c>
      <c r="BX7" s="177" t="str">
        <f>IF(nomemp6="","",IF(ipublica5_2023="","",ipublica5_2023))</f>
        <v/>
      </c>
      <c r="BY7" s="177" t="str">
        <f>IF(nomemp6="","",IF(iprivada5_2016="","",iprivada5_2016))</f>
        <v/>
      </c>
      <c r="BZ7" s="177" t="str">
        <f>IF(nomemp6="","",IF(iprivada5_2017="","",iprivada5_2017))</f>
        <v/>
      </c>
      <c r="CA7" s="177" t="str">
        <f>IF(nomemp6="","",IF(iprivada5_2018="","",iprivada5_2018))</f>
        <v/>
      </c>
      <c r="CB7" s="177" t="str">
        <f>IF(nomemp6="","",IF(iprivada5_2019="","",iprivada5_2019))</f>
        <v/>
      </c>
      <c r="CC7" s="177" t="str">
        <f>IF(nomemp6="","",IF(iprivada5_2020="","",iprivada5_2020))</f>
        <v/>
      </c>
      <c r="CD7" s="177" t="str">
        <f>IF(nomemp6="","",IF(iprivada5_2021="","",iprivada5_2021))</f>
        <v/>
      </c>
      <c r="CE7" s="177" t="str">
        <f>IF(nomemp6="","",IF(iprivada5_2022="","",iprivada5_2022))</f>
        <v/>
      </c>
      <c r="CF7" s="177" t="str">
        <f>IF(nomemp6="","",IF(iprivada5_2023="","",iprivada5_2023))</f>
        <v/>
      </c>
      <c r="CG7" s="177" t="str">
        <f>IF(nomemp6="","",IF(investigadorstotalprojecte5_2016="","",investigadorstotalprojecte5_2016))</f>
        <v/>
      </c>
      <c r="CH7" s="177" t="str">
        <f>IF(nomemp6="","",IF(investigadorstotalprojecte5_2017="","",investigadorstotalprojecte5_2017))</f>
        <v/>
      </c>
      <c r="CI7" s="177" t="str">
        <f>IF(nomemp6="","",IF(investigadorstotalprojecte5_2018="","",investigadorstotalprojecte5_2018))</f>
        <v/>
      </c>
      <c r="CJ7" s="177" t="str">
        <f>IF(nomemp6="","",IF(investigadorstotalprojecte5_2019="","",investigadorstotalprojecte5_2019))</f>
        <v/>
      </c>
      <c r="CK7" s="177" t="str">
        <f>IF(nomemp6="","",IF(investigadorstotalprojecte5_2020="","",investigadorstotalprojecte5_2020))</f>
        <v/>
      </c>
      <c r="CL7" s="177" t="str">
        <f>IF(nomemp6="","",IF(investigadorstotalprojecte5_2021="","",investigadorstotalprojecte5_2021))</f>
        <v/>
      </c>
      <c r="CM7" s="177" t="str">
        <f>IF(nomemp6="","",IF(investigadorstotalprojecte5_2022="","",investigadorstotalprojecte5_2022))</f>
        <v/>
      </c>
      <c r="CN7" s="177" t="str">
        <f>IF(nomemp6="","",IF(investigadorstotalprojecte5_2023="","",investigadorstotalprojecte5_2023))</f>
        <v/>
      </c>
      <c r="CO7" s="177" t="str">
        <f>IF(nomemp6="","",IF(investigadorshomesprojecte5_2016="","",investigadorshomesprojecte5_2016))</f>
        <v/>
      </c>
      <c r="CP7" s="177" t="str">
        <f>IF(nomemp6="","",IF(investigadorshomesprojecte5_2017="","",investigadorshomesprojecte5_2017))</f>
        <v/>
      </c>
      <c r="CQ7" s="177" t="str">
        <f>IF(nomemp6="","",IF(investigadorshomesprojecte5_2018="","",investigadorshomesprojecte5_2018))</f>
        <v/>
      </c>
      <c r="CR7" s="177" t="str">
        <f>IF(nomemp6="","",IF(investigadorshomesprojecte5_2019="","",investigadorshomesprojecte5_2019))</f>
        <v/>
      </c>
      <c r="CS7" s="177" t="str">
        <f>IF(nomemp6="","",IF(investigadorshomesprojecte5_2020="","",investigadorshomesprojecte5_2020))</f>
        <v/>
      </c>
      <c r="CT7" s="177" t="str">
        <f>IF(nomemp6="","",IF(investigadorshomesprojecte5_2021="","",investigadorshomesprojecte5_2021))</f>
        <v/>
      </c>
      <c r="CU7" s="177" t="str">
        <f>IF(nomemp6="","",IF(investigadorshomesprojecte5_2022="","",investigadorshomesprojecte5_2022))</f>
        <v/>
      </c>
      <c r="CV7" s="177" t="str">
        <f>IF(nomemp6="","",IF(investigadorshomesprojecte5_2023="","",investigadorshomesprojecte5_2023))</f>
        <v/>
      </c>
      <c r="CW7" s="177" t="str">
        <f>IF(nomemp6="","",IF(investigadorsdonesprojecte5_2016="","",investigadorsdones5_projecte2016))</f>
        <v/>
      </c>
      <c r="CX7" s="177" t="str">
        <f>IF(nomemp6="","",IF(investigadorsdonesprojecte5_2017="","",investigadorsdonesprojecte5_2017))</f>
        <v/>
      </c>
      <c r="CY7" s="177" t="str">
        <f>IF(nomemp6="","",IF(investigadorsdonesprojecte5_2018="","",investigadorsdonesprojecte5_2018))</f>
        <v/>
      </c>
      <c r="CZ7" s="177" t="str">
        <f>IF(nomemp6="","",IF(investigadorsdonesprojecte5_2019="","",investigadorsdonesprojecte5_2019))</f>
        <v/>
      </c>
      <c r="DA7" s="177" t="str">
        <f>IF(nomemp6="","",IF(investigadorsdonesprojecte5_2020="","",investigadorsdonesprojecte5_2020))</f>
        <v/>
      </c>
      <c r="DB7" s="177" t="str">
        <f>IF(nomemp6="","",IF(investigadorsdonesprojecte5_2021="","",investigadorsdonesprojecte5_2021))</f>
        <v/>
      </c>
      <c r="DC7" s="177" t="str">
        <f>IF(nomemp6="","",IF(investigadorsdonesprojecte5_2022="","",investigadorsdonesprojecte5_2022))</f>
        <v/>
      </c>
      <c r="DD7" s="177" t="str">
        <f>IF(nomemp6="","",IF(investigadorsdonesprojecte5_2023="","",investigadorsdonesprojecte5_2023))</f>
        <v/>
      </c>
      <c r="DE7" s="177" t="str">
        <f>IF(nomemp6="","",IF(empresesprivades5_2017="","",empresesprivades5_2017))</f>
        <v/>
      </c>
      <c r="DF7" s="177" t="str">
        <f>IF(nomemp6="","",IF(empresesprivades5_2017="","",empresesprivades5_2017))</f>
        <v/>
      </c>
      <c r="DG7" s="177" t="str">
        <f>IF(nomemp6="","",IF(empresesprivades5_2018="","",empresesprivades5_2018))</f>
        <v/>
      </c>
      <c r="DH7" s="177" t="str">
        <f>IF(nomemp6="","",IF(empresesprivades5_2019="","",empresesprivades5_2019))</f>
        <v/>
      </c>
      <c r="DI7" s="177" t="str">
        <f>IF(nomemp6="","",IF(empresesprivades5_2020="","",empresesprivades5_2020))</f>
        <v/>
      </c>
      <c r="DJ7" s="177" t="str">
        <f>IF(nomemp6="","",IF(empresesprivades5_2021="","",empresesprivades5_2021))</f>
        <v/>
      </c>
      <c r="DK7" s="177" t="str">
        <f>IF(nomemp6="","",IF(empresesprivades5_2022="","",empresesprivades5_2022))</f>
        <v/>
      </c>
      <c r="DL7" s="177" t="str">
        <f>IF(nomemp6="","",IF(empresesprivades5_2023="","",empresesprivades5_2023))</f>
        <v/>
      </c>
      <c r="DM7" s="177" t="str">
        <f>IF(nomemp6="","",IF(empresespubliques5_2017="","",empresespubliques5_2017))</f>
        <v/>
      </c>
      <c r="DN7" s="177" t="str">
        <f>IF(nomemp6="","",IF(empresespubliques5_2017="","",empresespubliques5_2017))</f>
        <v/>
      </c>
      <c r="DO7" s="177" t="str">
        <f>IF(nomemp6="","",IF(empresespubliques5_2018="","",empresespubliques5_2018))</f>
        <v/>
      </c>
      <c r="DP7" s="177" t="str">
        <f>IF(nomemp6="","",IF(empresespubliques5_2019="","",empresespubliques5_2019))</f>
        <v/>
      </c>
      <c r="DQ7" s="177" t="str">
        <f>IF(nomemp6="","",IF(empresespubliques5_2020="","",empresespubliques5_2020))</f>
        <v/>
      </c>
      <c r="DR7" s="177" t="str">
        <f>IF(nomemp6="","",IF(empresespubliques5_2021="","",empresespubliques5_2021))</f>
        <v/>
      </c>
      <c r="DS7" s="177" t="str">
        <f>IF(nomemp6="","",IF(empresespubliques5_2022="","",empresespubliques5_2022))</f>
        <v/>
      </c>
      <c r="DT7" s="177" t="str">
        <f>IF(nomemp6="","",IF(empresespubliques5_2023="","",empresespubliques5_2023))</f>
        <v/>
      </c>
      <c r="DU7" s="177" t="str">
        <f>IF(nomemp6="","",IF(centrestecnologics5_2017="","",centrestecnologics5_2017))</f>
        <v/>
      </c>
      <c r="DV7" s="177" t="str">
        <f>IF(nomemp6="","",IF(centrestecnologics5_2017="","",centrestecnologics5_2017))</f>
        <v/>
      </c>
      <c r="DW7" s="177" t="str">
        <f>IF(nomemp6="","",IF(centrestecnologics5_2018="","",centrestecnologics5_2018))</f>
        <v/>
      </c>
      <c r="DX7" s="177" t="str">
        <f>IF(nomemp6="","",IF(centrestecnologics5_2019="","",centrestecnologics5_2019))</f>
        <v/>
      </c>
      <c r="DY7" s="177" t="str">
        <f>IF(nomemp6="","",IF(centrestecnologics5_2020="","",centrestecnologics5_2020))</f>
        <v/>
      </c>
      <c r="DZ7" s="177" t="str">
        <f>IF(nomemp6="","",IF(centrestecnologics5_2021="","",centrestecnologics5_2021))</f>
        <v/>
      </c>
      <c r="EA7" s="177" t="str">
        <f>IF(nomemp6="","",IF(centrestecnologics5_2022="","",centrestecnologics5_2022))</f>
        <v/>
      </c>
      <c r="EB7" s="177" t="str">
        <f>IF(nomemp6="","",IF(centrestecnologics5_2023="","",centrestecnologics5_2023))</f>
        <v/>
      </c>
      <c r="EC7" s="177" t="str">
        <f>IF(nomemp6="","",IF(universitats5_2017="","",universitats5_2017))</f>
        <v/>
      </c>
      <c r="ED7" s="177" t="str">
        <f>IF(nomemp6="","",IF(universitats5_2017="","",universitats5_2017))</f>
        <v/>
      </c>
      <c r="EE7" s="177" t="str">
        <f>IF(nomemp6="","",IF(universitats5_2018="","",universitats5_2018))</f>
        <v/>
      </c>
      <c r="EF7" s="177" t="str">
        <f>IF(nomemp6="","",IF(universitats5_2019="","",universitats5_2019))</f>
        <v/>
      </c>
      <c r="EG7" s="177" t="str">
        <f>IF(nomemp6="","",IF(universitats5_2020="","",universitats5_2020))</f>
        <v/>
      </c>
      <c r="EH7" s="177" t="str">
        <f>IF(nomemp6="","",IF(universitats5_2021="","",universitats5_2021))</f>
        <v/>
      </c>
      <c r="EI7" s="177" t="str">
        <f>IF(nomemp6="","",IF(universitats5_2022="","",universitats5_2022))</f>
        <v/>
      </c>
      <c r="EJ7" s="177" t="str">
        <f>IF(nomemp6="","",IF(universitats5_2023="","",universitats5_2023))</f>
        <v/>
      </c>
      <c r="EK7" s="177" t="str">
        <f>IF(nomemp6="","",IF(centresrecerca5_2017="","",centresrecerca5_2017))</f>
        <v/>
      </c>
      <c r="EL7" s="177" t="str">
        <f>IF(nomemp6="","",IF(centresrecerca5_2017="","",centresrecerca5_2017))</f>
        <v/>
      </c>
      <c r="EM7" s="177" t="str">
        <f>IF(nomemp6="","",IF(centresrecerca5_2018="","",centresrecerca5_2018))</f>
        <v/>
      </c>
      <c r="EN7" s="177" t="str">
        <f>IF(nomemp6="","",IF(centresrecerca5_2019="","",centresrecerca5_2019))</f>
        <v/>
      </c>
      <c r="EO7" s="177" t="str">
        <f>IF(nomemp6="","",IF(centresrecerca5_2020="","",centresrecerca5_2020))</f>
        <v/>
      </c>
      <c r="EP7" s="177" t="str">
        <f>IF(nomemp6="","",IF(centresrecerca5_2021="","",centresrecerca5_2021))</f>
        <v/>
      </c>
      <c r="EQ7" s="177" t="str">
        <f>IF(nomemp6="","",IF(centresrecerca5_2022="","",centresrecerca5_2022))</f>
        <v/>
      </c>
      <c r="ER7" s="177" t="str">
        <f>IF(nomemp6="","",IF(centresrecerca5_2023="","",centresrecerca5_2023))</f>
        <v/>
      </c>
      <c r="ES7" s="177" t="str">
        <f>IF(nomemp6="","",IF(infraestructures5_2017="","",infraestructures5_2017))</f>
        <v/>
      </c>
      <c r="ET7" s="177" t="str">
        <f>IF(nomemp6="","",IF(infraestructures5_2017="","",infraestructures5_2017))</f>
        <v/>
      </c>
      <c r="EU7" s="177" t="str">
        <f>IF(nomemp6="","",IF(infraestructures5_2018="","",infraestructures5_2018))</f>
        <v/>
      </c>
      <c r="EV7" s="177" t="str">
        <f>IF(nomemp6="","",IF(infraestructures5_2019="","",infraestructures5_2019))</f>
        <v/>
      </c>
      <c r="EW7" s="177" t="str">
        <f>IF(nomemp6="","",IF(infraestructures5_2020="","",infraestructures5_2020))</f>
        <v/>
      </c>
      <c r="EX7" s="177" t="str">
        <f>IF(nomemp6="","",IF(infraestructures5_2021="","",infraestructures5_2021))</f>
        <v/>
      </c>
      <c r="EY7" s="177" t="str">
        <f>IF(nomemp6="","",IF(infraestructures5_2022="","",infraestructures5_2022))</f>
        <v/>
      </c>
      <c r="EZ7" s="177" t="str">
        <f>IF(nomemp6="","",IF(infraestructures5_2023="","",infraestructures5_2023))</f>
        <v/>
      </c>
      <c r="FA7" s="177" t="str">
        <f>IF(nomemp6="","",IF(spinoff5_2017="","",spinoff5_2017))</f>
        <v/>
      </c>
      <c r="FB7" s="177" t="str">
        <f>IF(nomemp6="","",IF(spinoff5_2017="","",spinoff5_2017))</f>
        <v/>
      </c>
      <c r="FC7" s="177" t="str">
        <f>IF(nomemp6="","",IF(spinoff5_2018="","",spinoff5_2018))</f>
        <v/>
      </c>
      <c r="FD7" s="177" t="str">
        <f>IF(nomemp6="","",IF(spinoff5_2019="","",spinoff5_2019))</f>
        <v/>
      </c>
      <c r="FE7" s="177" t="str">
        <f>IF(nomemp6="","",IF(spinoff5_2020="","",spinoff5_2020))</f>
        <v/>
      </c>
      <c r="FF7" s="177" t="str">
        <f>IF(nomemp6="","",IF(spinoff5_2021="","",spinoff5_2021))</f>
        <v/>
      </c>
      <c r="FG7" s="177" t="str">
        <f>IF(nomemp6="","",IF(spinoff5_2022="","",spinoff5_2022))</f>
        <v/>
      </c>
      <c r="FH7" s="177" t="str">
        <f>IF(nomemp6="","",IF(spinoff5_2023="","",spinoff5_2023))</f>
        <v/>
      </c>
      <c r="FI7" s="177" t="str">
        <f>IF(nomemp6="","",IF(patents5_2017="","",patents5_2017))</f>
        <v/>
      </c>
      <c r="FJ7" s="177" t="str">
        <f>IF(nomemp6="","",IF(patents5_2017="","",patents5_2017))</f>
        <v/>
      </c>
      <c r="FK7" s="177" t="str">
        <f>IF(nomemp6="","",IF(patents5_2018="","",patents5_2018))</f>
        <v/>
      </c>
      <c r="FL7" s="177" t="str">
        <f>IF(nomemp6="","",IF(patents5_2019="","",patents5_2019))</f>
        <v/>
      </c>
      <c r="FM7" s="177" t="str">
        <f>IF(nomemp6="","",IF(patents5_2020="","",patents5_2020))</f>
        <v/>
      </c>
      <c r="FN7" s="177" t="str">
        <f>IF(nomemp6="","",IF(patents5_2021="","",patents5_2021))</f>
        <v/>
      </c>
      <c r="FO7" s="177" t="str">
        <f>IF(nomemp6="","",IF(patents5_2022="","",patents5_2022))</f>
        <v/>
      </c>
      <c r="FP7" s="177" t="str">
        <f>IF(nomemp6="","",IF(patents5_2023="","",patents5_2023))</f>
        <v/>
      </c>
      <c r="FQ7" s="177" t="str">
        <f>IF(nomemp6="","",IF(marques5_2017="","",marques5_2017))</f>
        <v/>
      </c>
      <c r="FR7" s="177" t="str">
        <f>IF(nomemp6="","",IF(marques5_2017="","",marques5_2017))</f>
        <v/>
      </c>
      <c r="FS7" s="177" t="str">
        <f>IF(nomemp6="","",IF(marques5_2018="","",marques5_2018))</f>
        <v/>
      </c>
      <c r="FT7" s="177" t="str">
        <f>IF(nomemp6="","",IF(marques5_2019="","",marques5_2019))</f>
        <v/>
      </c>
      <c r="FU7" s="177" t="str">
        <f>IF(nomemp6="","",IF(marques5_2020="","",marques5_2020))</f>
        <v/>
      </c>
      <c r="FV7" s="177" t="str">
        <f>IF(nomemp6="","",IF(marques5_2021="","",marques5_2021))</f>
        <v/>
      </c>
      <c r="FW7" s="177" t="str">
        <f>IF(nomemp6="","",IF(marques5_2022="","",marques5_2022))</f>
        <v/>
      </c>
      <c r="FX7" s="177" t="str">
        <f>IF(nomemp6="","",IF(marques5_2023="","",marques5_2023))</f>
        <v/>
      </c>
      <c r="FY7" s="177" t="str">
        <f>IF(nomemp6="","",IF(innoven5_2017="","",innoven5_2017))</f>
        <v/>
      </c>
      <c r="FZ7" s="177" t="str">
        <f>IF(nomemp6="","",IF(innoven5_2017="","",innoven5_2017))</f>
        <v/>
      </c>
      <c r="GA7" s="177" t="str">
        <f>IF(nomemp6="","",IF(innoven5_2018="","",innoven5_2018))</f>
        <v/>
      </c>
      <c r="GB7" s="177" t="str">
        <f>IF(nomemp6="","",IF(innoven5_2019="","",innoven5_2019))</f>
        <v/>
      </c>
      <c r="GC7" s="177" t="str">
        <f>IF(nomemp6="","",IF(innoven5_2020="","",innoven5_2020))</f>
        <v/>
      </c>
      <c r="GD7" s="177" t="str">
        <f>IF(nomemp6="","",IF(innoven5_2021="","",innoven5_2021))</f>
        <v/>
      </c>
      <c r="GE7" s="177" t="str">
        <f>IF(nomemp6="","",IF(innoven5_2022="","",innoven5_2022))</f>
        <v/>
      </c>
      <c r="GF7" s="177" t="str">
        <f>IF(nomemp6="","",IF(innoven5_2023="","",innoven5_2023))</f>
        <v/>
      </c>
      <c r="GG7" s="177" t="str">
        <f>IF(nomemp6="","",IF(llocsdetreball5_2017="","",llocsdetreball5_2017))</f>
        <v/>
      </c>
      <c r="GH7" s="177" t="str">
        <f>IF(nomemp6="","",IF(llocsdetreball5_2017="","",llocsdetreball5_2017))</f>
        <v/>
      </c>
      <c r="GI7" s="177" t="str">
        <f>IF(nomemp6="","",IF(llocsdetreball5_2018="","",llocsdetreball5_2018))</f>
        <v/>
      </c>
      <c r="GJ7" s="177" t="str">
        <f>IF(nomemp6="","",IF(llocsdetreball5_2019="","",llocsdetreball5_2019))</f>
        <v/>
      </c>
      <c r="GK7" s="177" t="str">
        <f>IF(nomemp6="","",IF(llocsdetreball5_2020="","",llocsdetreball5_2020))</f>
        <v/>
      </c>
      <c r="GL7" s="177" t="str">
        <f>IF(nomemp6="","",IF(llocsdetreball5_2021="","",llocsdetreball5_2021))</f>
        <v/>
      </c>
      <c r="GM7" s="177" t="str">
        <f>IF(nomemp6="","",IF(llocsdetreball5_2022="","",llocsdetreball5_2022))</f>
        <v/>
      </c>
      <c r="GN7" s="177" t="str">
        <f>IF(nomemp6="","",IF(llocsdetreball5_2023="","",llocsdetreball5_2023))</f>
        <v/>
      </c>
      <c r="GO7" s="177" t="str">
        <f>IF(nomemp6="","",IF(formacio5_2017="","",formacio5_2017))</f>
        <v/>
      </c>
      <c r="GP7" s="177" t="str">
        <f>IF(nomemp6="","",IF(formacio5_2017="","",formacio5_2017))</f>
        <v/>
      </c>
      <c r="GQ7" s="177" t="str">
        <f>IF(nomemp6="","",IF(formacio5_2018="","",formacio5_2018))</f>
        <v/>
      </c>
      <c r="GR7" s="177" t="str">
        <f>IF(nomemp6="","",IF(formacio5_2019="","",formacio5_2019))</f>
        <v/>
      </c>
      <c r="GS7" s="177" t="str">
        <f>IF(nomemp6="","",IF(formacio5_2020="","",formacio5_2020))</f>
        <v/>
      </c>
      <c r="GT7" s="177" t="str">
        <f>IF(nomemp6="","",IF(formacio5_2021="","",formacio5_2021))</f>
        <v/>
      </c>
      <c r="GU7" s="177" t="str">
        <f>IF(nomemp6="","",IF(formacio5_2022="","",formacio5_2022))</f>
        <v/>
      </c>
      <c r="GV7" s="177" t="str">
        <f>IF(nomemp6="","",IF(formacio5_2023="","",formacio5_2023))</f>
        <v/>
      </c>
      <c r="GW7" s="177" t="str">
        <f>IF(nomemp6="","",IF(ingressos5_2017="","",ingressos5_2017))</f>
        <v/>
      </c>
      <c r="GX7" s="177" t="str">
        <f>IF(nomemp6="","",IF(ingressos5_2017="","",ingressos5_2017))</f>
        <v/>
      </c>
      <c r="GY7" s="177" t="str">
        <f>IF(nomemp6="","",IF(ingressos5_2018="","",ingressos5_2018))</f>
        <v/>
      </c>
      <c r="GZ7" s="177" t="str">
        <f>IF(nomemp6="","",IF(ingressos5_2019="","",ingressos5_2019))</f>
        <v/>
      </c>
      <c r="HA7" s="177" t="str">
        <f>IF(nomemp6="","",IF(ingressos5_2020="","",ingressos5_2020))</f>
        <v/>
      </c>
      <c r="HB7" s="177" t="str">
        <f>IF(nomemp6="","",IF(ingressos5_2021="","",ingressos5_2021))</f>
        <v/>
      </c>
      <c r="HC7" s="177" t="str">
        <f>IF(nomemp6="","",IF(ingressos5_2022="","",ingressos5_2022))</f>
        <v/>
      </c>
      <c r="HD7" s="177" t="str">
        <f>IF(nomemp6="","",IF(ingressos5_2023="","",ingressos5_2023))</f>
        <v/>
      </c>
      <c r="HE7" s="177" t="str">
        <f>IF(nomemp6="","",IF(exportacions5_2017="","",exportacions5_2017))</f>
        <v/>
      </c>
      <c r="HF7" s="177" t="str">
        <f>IF(nomemp6="","",IF(exportacions5_2017="","",exportacions5_2017))</f>
        <v/>
      </c>
      <c r="HG7" s="177" t="str">
        <f>IF(nomemp6="","",IF(exportacions5_2018="","",exportacions5_2018))</f>
        <v/>
      </c>
      <c r="HH7" s="177" t="str">
        <f>IF(nomemp6="","",IF(exportacions5_2019="","",exportacions5_2019))</f>
        <v/>
      </c>
      <c r="HI7" s="177" t="str">
        <f>IF(nomemp6="","",IF(exportacions5_2020="","",exportacions5_2020))</f>
        <v/>
      </c>
      <c r="HJ7" s="177" t="str">
        <f>IF(nomemp6="","",IF(exportacions5_2021="","",exportacions5_2021))</f>
        <v/>
      </c>
      <c r="HK7" s="177" t="str">
        <f>IF(nomemp6="","",IF(exportacions5_2022="","",exportacions5_2022))</f>
        <v/>
      </c>
      <c r="HL7" s="177" t="str">
        <f>IF(nomemp6="","",IF(exportacions5_2023="","",exportacions5_2023))</f>
        <v/>
      </c>
      <c r="HM7" s="177" t="str">
        <f>IF(nomemp6="","",IF(oportunitats5_2017="","",oportunitats5_2017))</f>
        <v/>
      </c>
      <c r="HN7" s="177" t="str">
        <f>IF(nomemp6="","",IF(oportunitats5_2017="","",oportunitats5_2017))</f>
        <v/>
      </c>
      <c r="HO7" s="177" t="str">
        <f>IF(nomemp6="","",IF(oportunitats5_2018="","",oportunitats5_2018))</f>
        <v/>
      </c>
      <c r="HP7" s="177" t="str">
        <f>IF(nomemp6="","",IF(oportunitats5_2019="","",oportunitats5_2019))</f>
        <v/>
      </c>
      <c r="HQ7" s="177" t="str">
        <f>IF(nomemp6="","",IF(oportunitats5_2020="","",oportunitats5_2020))</f>
        <v/>
      </c>
      <c r="HR7" s="177" t="str">
        <f>IF(nomemp6="","",IF(oportunitats5_2021="","",oportunitats5_2021))</f>
        <v/>
      </c>
      <c r="HS7" s="177" t="str">
        <f>IF(nomemp6="","",IF(oportunitats5_2022="","",oportunitats5_2022))</f>
        <v/>
      </c>
      <c r="HT7" s="177" t="str">
        <f>IF(nomemp6="","",IF(oportunitats5_2023="","",oportunitats5_2023))</f>
        <v/>
      </c>
      <c r="HU7" s="177" t="str">
        <f>IF(nomemp6="","",IF(productivitat5_2017="","",productivitat5_2017))</f>
        <v/>
      </c>
      <c r="HV7" s="177" t="str">
        <f>IF(nomemp6="","",IF(productivitat5_2017="","",productivitat5_2017))</f>
        <v/>
      </c>
      <c r="HW7" s="177" t="str">
        <f>IF(nomemp6="","",IF(productivitat5_2018="","",productivitat5_2018))</f>
        <v/>
      </c>
      <c r="HX7" s="177" t="str">
        <f>IF(nomemp6="","",IF(productivitat5_2019="","",productivitat5_2019))</f>
        <v/>
      </c>
      <c r="HY7" s="177" t="str">
        <f>IF(nomemp6="","",IF(productivitat5_2020="","",productivitat5_2020))</f>
        <v/>
      </c>
      <c r="HZ7" s="177" t="str">
        <f>IF(nomemp6="","",IF(productivitat5_2021="","",productivitat5_2021))</f>
        <v/>
      </c>
      <c r="IA7" s="177" t="str">
        <f>IF(nomemp6="","",IF(productivitat5_2022="","",productivitat5_2022))</f>
        <v/>
      </c>
      <c r="IB7" s="177" t="str">
        <f>IF(nomemp6="","",IF(productivitat5_2023="","",productivitat5_2023))</f>
        <v/>
      </c>
      <c r="IC7" s="177" t="str">
        <f>IF(nomemp6="","",IF(aigua5_2017="","",aigua5_2017))</f>
        <v/>
      </c>
      <c r="ID7" s="177" t="str">
        <f>IF(nomemp6="","",IF(aigua5_2017="","",aigua5_2017))</f>
        <v/>
      </c>
      <c r="IE7" s="177" t="str">
        <f>IF(nomemp6="","",IF(aigua5_2018="","",aigua5_2018))</f>
        <v/>
      </c>
      <c r="IF7" s="177" t="str">
        <f>IF(nomemp6="","",IF(aigua5_2019="","",aigua5_2019))</f>
        <v/>
      </c>
      <c r="IG7" s="177" t="str">
        <f>IF(nomemp6="","",IF(aigua5_2020="","",aigua5_2020))</f>
        <v/>
      </c>
      <c r="IH7" s="177" t="str">
        <f>IF(nomemp6="","",IF(aigua5_2021="","",aigua5_2021))</f>
        <v/>
      </c>
      <c r="II7" s="177" t="str">
        <f>IF(nomemp6="","",IF(aigua5_2022="","",aigua5_2022))</f>
        <v/>
      </c>
      <c r="IJ7" s="177" t="str">
        <f>IF(nomemp6="","",IF(aigua5_2023="","",aigua5_2023))</f>
        <v/>
      </c>
      <c r="IK7" s="177" t="str">
        <f>IF(nomemp6="","",IF(energia5_2017="","",energia5_2017))</f>
        <v/>
      </c>
      <c r="IL7" s="177" t="str">
        <f>IF(nomemp6="","",IF(energia5_2017="","",energia5_2017))</f>
        <v/>
      </c>
      <c r="IM7" s="177" t="str">
        <f>IF(nomemp6="","",IF(energia5_2018="","",energia5_2018))</f>
        <v/>
      </c>
      <c r="IN7" s="177" t="str">
        <f>IF(nomemp6="","",IF(energia5_2019="","",energia5_2019))</f>
        <v/>
      </c>
      <c r="IO7" s="177" t="str">
        <f>IF(nomemp6="","",IF(energia5_2020="","",energia5_2020))</f>
        <v/>
      </c>
      <c r="IP7" s="177" t="str">
        <f>IF(nomemp6="","",IF(energia5_2021="","",energia5_2021))</f>
        <v/>
      </c>
      <c r="IQ7" s="177" t="str">
        <f>IF(nomemp6="","",IF(energia5_2022="","",energia5_2022))</f>
        <v/>
      </c>
      <c r="IR7" s="177" t="str">
        <f>IF(nomemp6="","",IF(energia5_2023="","",energia5_2023))</f>
        <v/>
      </c>
      <c r="IS7" s="177" t="str">
        <f>IF(nomemp6="","",IF(emissions5_2017="","",emissions5_2017))</f>
        <v/>
      </c>
      <c r="IT7" s="177" t="str">
        <f>IF(nomemp6="","",IF(emissions5_2017="","",emissions5_2017))</f>
        <v/>
      </c>
      <c r="IU7" s="177" t="str">
        <f>IF(nomemp6="","",IF(emissions5_2018="","",emissions5_2018))</f>
        <v/>
      </c>
      <c r="IV7" s="177" t="str">
        <f>IF(nomemp6="","",IF(emissions5_2019="","",emissions5_2019))</f>
        <v/>
      </c>
      <c r="IW7" s="177" t="str">
        <f>IF(nomemp6="","",IF(emissions5_2020="","",emissions5_2020))</f>
        <v/>
      </c>
      <c r="IX7" s="177" t="str">
        <f>IF(nomemp6="","",IF(emissions5_2021="","",emissions5_2021))</f>
        <v/>
      </c>
      <c r="IY7" s="177" t="str">
        <f>IF(nomemp6="","",IF(emissions5_2022="","",emissions5_2022))</f>
        <v/>
      </c>
      <c r="IZ7" s="177" t="str">
        <f>IF(nomemp6="","",IF(emissions5_2023="","",emissions5_2023))</f>
        <v/>
      </c>
      <c r="JA7" s="177" t="str">
        <f>IF(nomemp6="","",IF(residus5_2017="","",residus5_2017))</f>
        <v/>
      </c>
      <c r="JB7" s="177" t="str">
        <f>IF(nomemp6="","",IF(residus5_2017="","",residus5_2017))</f>
        <v/>
      </c>
      <c r="JC7" s="177" t="str">
        <f>IF(nomemp6="","",IF(residus5_2018="","",residus5_2018))</f>
        <v/>
      </c>
      <c r="JD7" s="177" t="str">
        <f>IF(nomemp6="","",IF(residus5_2019="","",residus5_2019))</f>
        <v/>
      </c>
      <c r="JE7" s="177" t="str">
        <f>IF(nomemp6="","",IF(residus5_2020="","",residus5_2020))</f>
        <v/>
      </c>
      <c r="JF7" s="177" t="str">
        <f>IF(nomemp6="","",IF(residus5_2021="","",residus5_2021))</f>
        <v/>
      </c>
      <c r="JG7" s="177" t="str">
        <f>IF(nomemp6="","",IF(residus5_2022="","",residus5_2022))</f>
        <v/>
      </c>
      <c r="JH7" s="177" t="str">
        <f>IF(nomemp6="","",IF(residus5_2023="","",residus5_2023))</f>
        <v/>
      </c>
      <c r="JJ7" s="38"/>
      <c r="JK7" s="38"/>
      <c r="JL7" s="38"/>
    </row>
    <row r="8" spans="1:272" s="177" customFormat="1" x14ac:dyDescent="0.25">
      <c r="A8" s="177" t="str">
        <f>IF(nomemp7="","",codiexp1)</f>
        <v/>
      </c>
      <c r="B8" s="177" t="str">
        <f>UPPER(IF(nomemp7=" ", " ",nomemp7))</f>
        <v/>
      </c>
      <c r="C8" s="177" t="str">
        <f>UPPER(IF(nif_7= " ", " ", nif_7))</f>
        <v/>
      </c>
      <c r="D8" s="177" t="str">
        <f>IF(nomemp7="", "",UPPER(IF(codiparticipant6="","",codiparticipant6)))</f>
        <v/>
      </c>
      <c r="E8" s="177" t="str">
        <f>IF(nomemp7="", "",IF(ajudes6_2016="", "",ajudes6_2016))</f>
        <v/>
      </c>
      <c r="F8" s="177" t="str">
        <f>IF(nomemp7="", "",IF(ajudes6_2017="", "",ajudes6_2017))</f>
        <v/>
      </c>
      <c r="G8" s="177" t="str">
        <f>IF(nomemp7="",  "",IF(ajudes6_2018="", "",ajudes6_2018))</f>
        <v/>
      </c>
      <c r="H8" s="177" t="str">
        <f>IF(nomemp7="", "",IF(ajudes6_2019="", "",ajudes6_2019))</f>
        <v/>
      </c>
      <c r="I8" s="177" t="str">
        <f>IF(nomemp7="", "",IF(ajudes6_2020="", "",ajudes6_2020))</f>
        <v/>
      </c>
      <c r="J8" s="177" t="str">
        <f>IF(nomemp7="", "",IF(ajudes6_2021="", "",ajudes6_2021))</f>
        <v/>
      </c>
      <c r="K8" s="177" t="str">
        <f>IF(nomemp7="", "",IF(ajudes6_2022="", "",ajudes6_2022))</f>
        <v/>
      </c>
      <c r="L8" s="177" t="str">
        <f>IF(nomemp7="", "",IF(ajudes6_2023="", "",ajudes6_2023))</f>
        <v/>
      </c>
      <c r="M8" s="177" t="str">
        <f>IF(nomemp7= " ", " ", IF(subvencions6_2016="","",subvencions6_2016))</f>
        <v/>
      </c>
      <c r="N8" s="177" t="str">
        <f>IF(nomemp7= " ", " ", IF(subvencions6_2017="","",subvencions6_2017))</f>
        <v/>
      </c>
      <c r="O8" s="177" t="str">
        <f>IF(nomemp7= " ", " ", IF(subvencions6_2018="","",subvencions6_2018))</f>
        <v/>
      </c>
      <c r="P8" s="177" t="str">
        <f>IF(nomemp7= " ", " ", IF(subvencions6_2019="","",subvencions6_2019))</f>
        <v/>
      </c>
      <c r="Q8" s="177" t="str">
        <f>IF(nomemp7= " ", " ", IF(subvencions6_2020="","",subvencions6_2020))</f>
        <v/>
      </c>
      <c r="R8" s="177" t="str">
        <f>IF(nomemp7= " ", " ", IF(subvencions6_2021="","",subvencions6_2021))</f>
        <v/>
      </c>
      <c r="S8" s="177" t="str">
        <f>IF(nomemp7= " ", " ", IF(subvencions6_2022="","",subvencions6_2022))</f>
        <v/>
      </c>
      <c r="T8" s="177" t="str">
        <f>IF(nomemp7= " ", " ", IF(subvencions6_2023="","",subvencions6_2023))</f>
        <v/>
      </c>
      <c r="U8" s="177" t="str">
        <f>IF(nomemp7= " ", "",IF(iprivadaipublica6_2016="","",iprivadaipublica6_2016))</f>
        <v/>
      </c>
      <c r="V8" s="177" t="str">
        <f>IF(nomemp7= " ", "",IF(iprivadaipublica6_2017="","",iprivadaipublica6_2017))</f>
        <v/>
      </c>
      <c r="W8" s="177" t="str">
        <f>IF(nomemp7= " ", "",IF(iprivadaipublica6_2018="","",iprivadaipublica6_2018))</f>
        <v/>
      </c>
      <c r="X8" s="177" t="str">
        <f>IF(nomemp7= " ", "",IF(iprivadaipublica6_2019="","",iprivadaipublica6_2019))</f>
        <v/>
      </c>
      <c r="Y8" s="177" t="str">
        <f>IF(nomemp7= " ", "",IF(iprivadaipublica6_2020="","",iprivadaipublica6_2020))</f>
        <v/>
      </c>
      <c r="Z8" s="177" t="str">
        <f>IF(nomemp7= " ", "",IF(iprivadaipublica6_2021="","",iprivadaipublica6_2021))</f>
        <v/>
      </c>
      <c r="AA8" s="177" t="str">
        <f>IF(nomemp7= " ", "",IF(iprivadaipublica6_2022="","",iprivadaipublica6_2022))</f>
        <v/>
      </c>
      <c r="AB8" s="177" t="str">
        <f>IF(nomemp7= " ", "",IF(iprivadaipublica6_2023="","",iprivadaipublica6_2023))</f>
        <v/>
      </c>
      <c r="AC8" s="177" t="str">
        <f>IF(nomemp7="","",IF(copera6_2016="","",copera6_2016))</f>
        <v/>
      </c>
      <c r="AD8" s="177" t="str">
        <f>IF(nomemp7="","",IF(copera6_2017="","",copera6_2017))</f>
        <v/>
      </c>
      <c r="AE8" s="177" t="str">
        <f>IF(nomemp7="","",IF(copera6_2018="","",copera6_2018))</f>
        <v/>
      </c>
      <c r="AF8" s="177" t="str">
        <f>IF(nomemp7="","",IF(copera6_2019="","",copera6_2019))</f>
        <v/>
      </c>
      <c r="AG8" s="177" t="str">
        <f>IF(nomemp7="","",IF(copera6_2020="","",copera6_2020))</f>
        <v/>
      </c>
      <c r="AH8" s="177" t="str">
        <f>IF(nomemp7="","",IF(copera6_2021="","",copera6_2021))</f>
        <v/>
      </c>
      <c r="AI8" s="177" t="str">
        <f>IF(nomemp7="","",IF(copera6_2022="","",copera6_2022))</f>
        <v/>
      </c>
      <c r="AJ8" s="177" t="str">
        <f>IF(nomemp7="","",IF(copera6_2023="","",copera6_2023))</f>
        <v/>
      </c>
      <c r="AK8" s="177" t="str">
        <f>IF(nomemp7="","",IF(investigadorshomes6_2016="","",investigadorshomes6_2016))</f>
        <v/>
      </c>
      <c r="AL8" s="177" t="str">
        <f>IF(nomemp7="","",IF(investigadorshomes6_2017="","",investigadorshomes6_2017))</f>
        <v/>
      </c>
      <c r="AM8" s="177" t="str">
        <f>IF(nomemp7="","",IF(investigadorshomes6_2018="","",investigadorshomes6_2018))</f>
        <v/>
      </c>
      <c r="AN8" s="177" t="str">
        <f>IF(nomemp7="","",IF(investigadorshomes6_2019="","",investigadorshomes6_2019))</f>
        <v/>
      </c>
      <c r="AO8" s="177" t="str">
        <f>IF(nomemp7="","",IF(investigadorshomes6_2020="","",investigadorshomes6_2020))</f>
        <v/>
      </c>
      <c r="AP8" s="177" t="str">
        <f>IF(nomemp7="","",IF(investigadorshomes6_2021="","",investigadorshomes6_2021))</f>
        <v/>
      </c>
      <c r="AQ8" s="177" t="str">
        <f>IF(nomemp7="","",IF(investigadorshomes6_2022="","",investigadorshomes6_2022))</f>
        <v/>
      </c>
      <c r="AR8" s="177" t="str">
        <f>IF(nomemp7="","",IF(investigadorshomes6_2023="","",investigadorshomes6_2023))</f>
        <v/>
      </c>
      <c r="AS8" s="177" t="str">
        <f>IF(nomemp7="","",IF(investigadorsdones6_2016= "","",investigadorsdones6_2016))</f>
        <v/>
      </c>
      <c r="AT8" s="177" t="str">
        <f>IF(nomemp7="","",IF(investigadorsdones6_2017= "","",investigadorsdones6_2017))</f>
        <v/>
      </c>
      <c r="AU8" s="177" t="str">
        <f>IF(nomemp7="","",IF(investigadorsdones6_2018= "","",investigadorsdones6_2018))</f>
        <v/>
      </c>
      <c r="AV8" s="177" t="str">
        <f>IF(nomemp7="","",IF(investigadorsdones6_2019= "","",investigadorsdones6_2019))</f>
        <v/>
      </c>
      <c r="AW8" s="177" t="str">
        <f>IF(nomemp7="","",IF(investigadorsdones6_2020= "","",investigadorsdones6_2020))</f>
        <v/>
      </c>
      <c r="AX8" s="177" t="str">
        <f>IF(nomemp7="","",IF(investigadorsdones6_2021= "","",investigadorsdones6_2021))</f>
        <v/>
      </c>
      <c r="AY8" s="177" t="str">
        <f>IF(nomemp7="","",IF(investigadorsdones6_2022= "","",investigadorsdones6_2022))</f>
        <v/>
      </c>
      <c r="AZ8" s="177" t="str">
        <f>IF(nomemp7="","",IF(investigadorsdones6_2023= "","",investigadorsdones6_2023))</f>
        <v/>
      </c>
      <c r="BA8" s="177" t="str">
        <f>IF(nomemp7=" ", " ",IF(investigadorstotal_6="","",investigadorstotal_6))</f>
        <v/>
      </c>
      <c r="BB8" s="177" t="str">
        <f>IF(nomemp7=" ", " ",IF(investigadorstotal6_2017="","",investigadorstotal6_2017))</f>
        <v/>
      </c>
      <c r="BC8" s="177" t="str">
        <f>IF(nomemp7=" ", " ",IF(investigadorstotal6_2018="","",investigadorstotal6_2018))</f>
        <v/>
      </c>
      <c r="BD8" s="177" t="str">
        <f>IF(nomemp7=" ", " ",IF(investigadorstotal6_2019="","",investigadorstotal6_2019))</f>
        <v/>
      </c>
      <c r="BE8" s="177" t="str">
        <f>IF(nomemp7=" ", " ",IF(investigadorstotal6_2020="","",investigadorstotal6_2020))</f>
        <v/>
      </c>
      <c r="BF8" s="177" t="str">
        <f>IF(nomemp7=" ", " ",IF(investigadorstotal6_2021="","",investigadorstotal6_2021))</f>
        <v/>
      </c>
      <c r="BG8" s="177" t="str">
        <f>IF(nomemp7=" ", " ",IF(investigadorstotal6_2022="","",investigadorstotal6_2022))</f>
        <v/>
      </c>
      <c r="BH8" s="177" t="str">
        <f>IF(nomemp7=" ", " ",IF(investigadorstotal6_2023="","",investigadorstotal6_2023))</f>
        <v/>
      </c>
      <c r="BI8" s="177" t="str">
        <f>IF(nomemp7=" ", " ",IF(certificacio6_2016="","",certificacio6_2016))</f>
        <v/>
      </c>
      <c r="BJ8" s="177" t="str">
        <f>IF(nomemp7=" ", " ",IF(certificacio6_2017="","",certificacio6_2017))</f>
        <v/>
      </c>
      <c r="BK8" s="177" t="str">
        <f>IF(nomemp7=" ", " ",IF(certificacio6_2018="","",certificacio6_2018))</f>
        <v/>
      </c>
      <c r="BL8" s="177" t="str">
        <f>IF(nomemp7=" "," ",IF(certificacio6_2019="","",certificacio6_2019))</f>
        <v/>
      </c>
      <c r="BM8" s="177" t="str">
        <f>IF(nomemp7=" ", " ",IF(certificacio6_2020="","",certificacio6_2020))</f>
        <v/>
      </c>
      <c r="BN8" s="177" t="str">
        <f>IF(nomemp7=" ", " ",IF(certificacio6_2021="","",certificacio6_2021))</f>
        <v/>
      </c>
      <c r="BO8" s="177" t="str">
        <f>IF(nomemp7=" ", " ",IF(certificacio6_2022="","",certificacio6_2022))</f>
        <v/>
      </c>
      <c r="BP8" s="177" t="str">
        <f>IF(nomemp7=" ", " ",IF(certificacio6_2023="","",certificacio6_2023))</f>
        <v/>
      </c>
      <c r="BQ8" s="177" t="str">
        <f>IF(nomemp7="","",IF(ipublica6_2016="","",ipublica6_2016))</f>
        <v/>
      </c>
      <c r="BR8" s="177" t="str">
        <f>IF(nomemp7="","",IF(ipublica6_2017="","",ipublica6_2017))</f>
        <v/>
      </c>
      <c r="BS8" s="177" t="str">
        <f>IF(nomemp7="","",IF(ipublica6_2018="","",ipublica6_2018))</f>
        <v/>
      </c>
      <c r="BT8" s="177" t="str">
        <f>IF(nomemp7="","",IF(ipublica6_2019="","",ipublica6_2019))</f>
        <v/>
      </c>
      <c r="BU8" s="177" t="str">
        <f>IF(nomemp7="","",IF(ipublica6_2020="","",ipublica6_2020))</f>
        <v/>
      </c>
      <c r="BV8" s="177" t="str">
        <f>IF(nomemp7="","",IF(ipublica6_2021="","",ipublica6_2021))</f>
        <v/>
      </c>
      <c r="BW8" s="177" t="str">
        <f>IF(nomemp7="","",IF(ipublica6_2022="","",ipublica6_2022))</f>
        <v/>
      </c>
      <c r="BX8" s="177" t="str">
        <f>IF(nomemp7="","",IF(ipublica6_2023="","",ipublica6_2023))</f>
        <v/>
      </c>
      <c r="BY8" s="177" t="str">
        <f>IF(nomemp7="","",IF(iprivada6_2016="","",iprivada6_2016))</f>
        <v/>
      </c>
      <c r="BZ8" s="177" t="str">
        <f>IF(nomemp7="","",IF(iprivada6_2017="","",iprivada6_2017))</f>
        <v/>
      </c>
      <c r="CA8" s="177" t="str">
        <f>IF(nomemp7="","",IF(iprivada6_2018="","",iprivada6_2018))</f>
        <v/>
      </c>
      <c r="CB8" s="177" t="str">
        <f>IF(nomemp7="","",IF(iprivada6_2019="","",iprivada6_2019))</f>
        <v/>
      </c>
      <c r="CC8" s="177" t="str">
        <f>IF(nomemp7="","",IF(iprivada6_2020="","",iprivada6_2020))</f>
        <v/>
      </c>
      <c r="CD8" s="177" t="str">
        <f>IF(nomemp7="","",IF(iprivada6_2021="","",iprivada6_2021))</f>
        <v/>
      </c>
      <c r="CE8" s="177" t="str">
        <f>IF(nomemp7="","",IF(iprivada6_2022="","",iprivada6_2022))</f>
        <v/>
      </c>
      <c r="CF8" s="177" t="str">
        <f>IF(nomemp7="","",IF(iprivada6_2023="","",iprivada6_2023))</f>
        <v/>
      </c>
      <c r="CG8" s="177" t="str">
        <f>IF(nomemp7="","",IF(investigadorstotalprojecte6_2016="","",investigadorstotalprojecte6_2016))</f>
        <v/>
      </c>
      <c r="CH8" s="177" t="str">
        <f>IF(nomemp7="","",IF(investigadorstotalprojecte6_2017="","",investigadorstotalprojecte6_2017))</f>
        <v/>
      </c>
      <c r="CI8" s="177" t="str">
        <f>IF(nomemp7="","",IF(investigadorstotalprojecte6_2018="","",investigadorstotalprojecte6_2018))</f>
        <v/>
      </c>
      <c r="CJ8" s="177" t="str">
        <f>IF(nomemp7="","",IF(investigadorstotalprojecte6_2019="","",investigadorstotalprojecte6_2019))</f>
        <v/>
      </c>
      <c r="CK8" s="177" t="str">
        <f>IF(nomemp7="","",IF(investigadorstotalprojecte6_2020="","",investigadorstotalprojecte6_2020))</f>
        <v/>
      </c>
      <c r="CL8" s="177" t="str">
        <f>IF(nomemp7="","",IF(investigadorstotalprojecte6_2021="","",investigadorstotalprojecte6_2021))</f>
        <v/>
      </c>
      <c r="CM8" s="177" t="str">
        <f>IF(nomemp7="","",IF(investigadorstotalprojecte6_2022="","",investigadorstotalprojecte6_2022))</f>
        <v/>
      </c>
      <c r="CN8" s="177" t="str">
        <f>IF(nomemp7="","",IF(investigadorstotalprojecte6_2023="","",investigadorstotalprojecte6_2023))</f>
        <v/>
      </c>
      <c r="CO8" s="177" t="str">
        <f>IF(nomemp7="","",IF(investigadorshomesprojecte6_2016="","",investigadorshomesprojecte6_2016))</f>
        <v/>
      </c>
      <c r="CP8" s="177" t="str">
        <f>IF(nomemp7="","",IF(investigadorshomesprojecte6_2017="","",investigadorshomesprojecte6_2017))</f>
        <v/>
      </c>
      <c r="CQ8" s="177" t="str">
        <f>IF(nomemp7="","",IF(investigadorshomesprojecte6_2018="","",investigadorshomesprojecte6_2018))</f>
        <v/>
      </c>
      <c r="CR8" s="177" t="str">
        <f>IF(nomemp7="","",IF(investigadorshomesprojecte6_2019="","",investigadorshomesprojecte6_2019))</f>
        <v/>
      </c>
      <c r="CS8" s="177" t="str">
        <f>IF(nomemp7="","",IF(investigadorshomesprojecte6_2020="","",investigadorshomesprojecte6_2020))</f>
        <v/>
      </c>
      <c r="CT8" s="177" t="str">
        <f>IF(nomemp7="","",IF(investigadorshomesprojecte6_2021="","",investigadorshomesprojecte6_2021))</f>
        <v/>
      </c>
      <c r="CU8" s="177" t="str">
        <f>IF(nomemp7="","",IF(investigadorshomesprojecte6_2022="","",investigadorshomesprojecte6_2022))</f>
        <v/>
      </c>
      <c r="CV8" s="177" t="str">
        <f>IF(nomemp7="","",IF(investigadorshomesprojecte6_2023="","",investigadorshomesprojecte6_2023))</f>
        <v/>
      </c>
      <c r="CW8" s="177" t="str">
        <f>IF(nomemp7="","",IF(investigadorsdonesprojecte6_2016="","",investigadorsdonesprojecte6_2016))</f>
        <v/>
      </c>
      <c r="CX8" s="177" t="str">
        <f>IF(nomemp7="","",IF(investigadorsdonesprojecte6_2017="","",investigadorsdonesprojecte6_2017))</f>
        <v/>
      </c>
      <c r="CY8" s="177" t="str">
        <f>IF(nomemp7="","",IF(investigadorsdonesprojecte6_2018="","",investigadorsdonesprojecte6_2018))</f>
        <v/>
      </c>
      <c r="CZ8" s="177" t="str">
        <f>IF(nomemp7="","",IF(investigadorsdonesprojecte6_2019="","",investigadorsdonesprojecte6_2019))</f>
        <v/>
      </c>
      <c r="DA8" s="177" t="str">
        <f>IF(nomemp7="","",IF(investigadorsdonesprojecte6_2020="","",investigadorsdonesprojecte6_2020))</f>
        <v/>
      </c>
      <c r="DB8" s="177" t="str">
        <f>IF(nomemp7="","",IF(investigadorsdonesprojecte6_2021="","",investigadorsdonesprojecte6_2021))</f>
        <v/>
      </c>
      <c r="DC8" s="177" t="str">
        <f>IF(nomemp7="","",IF(investigadorsdonesprojecte6_2022="","",investigadorsdonesprojecte6_2022))</f>
        <v/>
      </c>
      <c r="DD8" s="177" t="str">
        <f>IF(nomemp7="","",IF(investigadorsdonesprojecte6_2023="","",investigadorsdonesprojecte6_2023))</f>
        <v/>
      </c>
      <c r="DE8" s="177" t="str">
        <f>IF(nomemp7="","",IF(empresesprivades6_2017="","",empresesprivades6_2017))</f>
        <v/>
      </c>
      <c r="DF8" s="177" t="str">
        <f>IF(nomemp7="","",IF(empresesprivades6_2017="","",empresesprivades6_2017))</f>
        <v/>
      </c>
      <c r="DG8" s="177" t="str">
        <f>IF(nomemp7="","",IF(empresesprivades6_2018="","",empresesprivades6_2018))</f>
        <v/>
      </c>
      <c r="DH8" s="177" t="str">
        <f>IF(nomemp7="","",IF(empresesprivades6_2019="","",empresesprivades6_2019))</f>
        <v/>
      </c>
      <c r="DI8" s="177" t="str">
        <f>IF(nomemp7="","",IF(empresesprivades6_2020="","",empresesprivades6_2020))</f>
        <v/>
      </c>
      <c r="DJ8" s="177" t="str">
        <f>IF(nomemp7="","",IF(empresesprivades6_2021="","",empresesprivades6_2021))</f>
        <v/>
      </c>
      <c r="DK8" s="177" t="str">
        <f>IF(nomemp7="","",IF(empresesprivades6_2022="","",empresesprivades6_2022))</f>
        <v/>
      </c>
      <c r="DL8" s="177" t="str">
        <f>IF(nomemp7="","",IF(empresesprivades6_2023="","",empresesprivades6_2023))</f>
        <v/>
      </c>
      <c r="DM8" s="177" t="str">
        <f>IF(nomemp7="","",IF(empresespubliques6_2017="","",empresespubliques6_2017))</f>
        <v/>
      </c>
      <c r="DN8" s="177" t="str">
        <f>IF(nomemp7="","",IF(empresespubliques6_2017="","",empresespubliques6_2017))</f>
        <v/>
      </c>
      <c r="DO8" s="177" t="str">
        <f>IF(nomemp7="","",IF(empresespubliques6_2018="","",empresespubliques6_2018))</f>
        <v/>
      </c>
      <c r="DP8" s="177" t="str">
        <f>IF(nomemp7="","",IF(empresespubliques6_2019="","",empresespubliques6_2019))</f>
        <v/>
      </c>
      <c r="DQ8" s="177" t="str">
        <f>IF(nomemp7="","",IF(empresespubliques6_2020="","",empresespubliques6_2020))</f>
        <v/>
      </c>
      <c r="DR8" s="177" t="str">
        <f>IF(nomemp7="","",IF(empresespubliques6_2021="","",empresespubliques6_2021))</f>
        <v/>
      </c>
      <c r="DS8" s="177" t="str">
        <f>IF(nomemp7="","",IF(empresespubliques6_2022="","",empresespubliques6_2022))</f>
        <v/>
      </c>
      <c r="DT8" s="177" t="str">
        <f>IF(nomemp7="","",IF(empresespubliques6_2023="","",empresespubliques6_2023))</f>
        <v/>
      </c>
      <c r="DU8" s="177" t="str">
        <f>IF(nomemp7="","",IF(centrestecnologics6_2017="","",centrestecnologics6_2017))</f>
        <v/>
      </c>
      <c r="DV8" s="177" t="str">
        <f>IF(nomemp7="","",IF(centrestecnologics6_2017="","",centrestecnologics6_2017))</f>
        <v/>
      </c>
      <c r="DW8" s="177" t="str">
        <f>IF(nomemp7="","",IF(centrestecnologics6_2018="","",centrestecnologics6_2018))</f>
        <v/>
      </c>
      <c r="DX8" s="177" t="str">
        <f>IF(nomemp7="","",IF(centrestecnologics6_2019="","",centrestecnologics6_2019))</f>
        <v/>
      </c>
      <c r="DY8" s="177" t="str">
        <f>IF(nomemp7="","",IF(centrestecnologics6_2020="","",centrestecnologics6_2020))</f>
        <v/>
      </c>
      <c r="DZ8" s="177" t="str">
        <f>IF(nomemp7="","",IF(centrestecnologics6_2021="","",centrestecnologics6_2021))</f>
        <v/>
      </c>
      <c r="EA8" s="177" t="str">
        <f>IF(nomemp7="","",IF(centrestecnologics6_2022="","",centrestecnologics6_2022))</f>
        <v/>
      </c>
      <c r="EB8" s="177" t="str">
        <f>IF(nomemp7="","",IF(centrestecnologics6_2023="","",centrestecnologics6_2023))</f>
        <v/>
      </c>
      <c r="EC8" s="177" t="str">
        <f>IF(nomemp7="","",IF(universitats6_2017="","",universitats6_2017))</f>
        <v/>
      </c>
      <c r="ED8" s="177" t="str">
        <f>IF(nomemp7="","",IF(universitats6_2017="","",universitats6_2017))</f>
        <v/>
      </c>
      <c r="EE8" s="177" t="str">
        <f>IF(nomemp7="","",IF(universitats6_2018="","",universitats6_2018))</f>
        <v/>
      </c>
      <c r="EF8" s="177" t="str">
        <f>IF(nomemp7="","",IF(universitats6_2019="","",universitats6_2019))</f>
        <v/>
      </c>
      <c r="EG8" s="177" t="str">
        <f>IF(nomemp7="","",IF(universitats6_2020="","",universitats6_2020))</f>
        <v/>
      </c>
      <c r="EH8" s="177" t="str">
        <f>IF(nomemp7="","",IF(universitats6_2021="","",universitats6_2021))</f>
        <v/>
      </c>
      <c r="EI8" s="177" t="str">
        <f>IF(nomemp7="","",IF(universitats6_2022="","",universitats6_2022))</f>
        <v/>
      </c>
      <c r="EJ8" s="177" t="str">
        <f>IF(nomemp7="","",IF(universitats6_2023="","",universitats6_2023))</f>
        <v/>
      </c>
      <c r="EK8" s="177" t="str">
        <f>IF(nomemp7="","",IF(centresrecerca6_2017="","",centresrecerca6_2017))</f>
        <v/>
      </c>
      <c r="EL8" s="177" t="str">
        <f>IF(nomemp7="","",IF(centresrecerca6_2017="","",centresrecerca6_2017))</f>
        <v/>
      </c>
      <c r="EM8" s="177" t="str">
        <f>IF(nomemp7="","",IF(centresrecerca6_2018="","",centresrecerca6_2018))</f>
        <v/>
      </c>
      <c r="EN8" s="177" t="str">
        <f>IF(nomemp7="","",IF(centresrecerca6_2019="","",centresrecerca6_2019))</f>
        <v/>
      </c>
      <c r="EO8" s="177" t="str">
        <f>IF(nomemp7="","",IF(centresrecerca6_2020="","",centresrecerca6_2020))</f>
        <v/>
      </c>
      <c r="EP8" s="177" t="str">
        <f>IF(nomemp7="","",IF(centresrecerca6_2021="","",centresrecerca6_2021))</f>
        <v/>
      </c>
      <c r="EQ8" s="177" t="str">
        <f>IF(nomemp7="","",IF(centresrecerca6_2022="","",centresrecerca6_2022))</f>
        <v/>
      </c>
      <c r="ER8" s="177" t="str">
        <f>IF(nomemp7="","",IF(centresrecerca6_2023="","",centresrecerca6_2023))</f>
        <v/>
      </c>
      <c r="ES8" s="177" t="str">
        <f>IF(nomemp7="","",IF(infraestructures6_2017="","",infraestructures6_2017))</f>
        <v/>
      </c>
      <c r="ET8" s="177" t="str">
        <f>IF(nomemp7="","",IF(infraestructures6_2017="","",infraestructures6_2017))</f>
        <v/>
      </c>
      <c r="EU8" s="177" t="str">
        <f>IF(nomemp7="","",IF(infraestructures6_2018="","",infraestructures6_2018))</f>
        <v/>
      </c>
      <c r="EV8" s="177" t="str">
        <f>IF(nomemp7="","",IF(infraestructures6_2019="","",infraestructures6_2019))</f>
        <v/>
      </c>
      <c r="EW8" s="177" t="str">
        <f>IF(nomemp7="","",IF(infraestructures6_2020="","",infraestructures6_2020))</f>
        <v/>
      </c>
      <c r="EX8" s="177" t="str">
        <f>IF(nomemp7="","",IF(infraestructures6_2021="","",infraestructures6_2021))</f>
        <v/>
      </c>
      <c r="EY8" s="177" t="str">
        <f>IF(nomemp7="","",IF(infraestructures6_2022="","",infraestructures6_2022))</f>
        <v/>
      </c>
      <c r="EZ8" s="177" t="str">
        <f>IF(nomemp7="","",IF(infraestructures6_2023="","",infraestructures6_2023))</f>
        <v/>
      </c>
      <c r="FA8" s="177" t="str">
        <f>IF(nomemp7="","",IF(spinoff6_2017="","",spinoff6_2017))</f>
        <v/>
      </c>
      <c r="FB8" s="177" t="str">
        <f>IF(nomemp7="","",IF(spinoff6_2017="","",spinoff6_2017))</f>
        <v/>
      </c>
      <c r="FC8" s="177" t="str">
        <f>IF(nomemp7="","",IF(spinoff6_2018="","",spinoff6_2018))</f>
        <v/>
      </c>
      <c r="FD8" s="177" t="str">
        <f>IF(nomemp7="","",IF(spinoff6_2019="","",spinoff6_2019))</f>
        <v/>
      </c>
      <c r="FE8" s="177" t="str">
        <f>IF(nomemp7="","",IF(spinoff6_2020="","",spinoff6_2020))</f>
        <v/>
      </c>
      <c r="FF8" s="177" t="str">
        <f>IF(nomemp7="","",IF(spinoff6_2021="","",spinoff6_2021))</f>
        <v/>
      </c>
      <c r="FG8" s="177" t="str">
        <f>IF(nomemp7="","",IF(spinoff6_2022="","",spinoff6_2022))</f>
        <v/>
      </c>
      <c r="FH8" s="177" t="str">
        <f>IF(nomemp7="","",IF(spinoff6_2023="","",spinoff6_2023))</f>
        <v/>
      </c>
      <c r="FI8" s="177" t="str">
        <f>IF(nomemp7="","",IF(patents6_2017="","",patents6_2017))</f>
        <v/>
      </c>
      <c r="FJ8" s="177" t="str">
        <f>IF(nomemp7="","",IF(patents6_2017="","",patents6_2017))</f>
        <v/>
      </c>
      <c r="FK8" s="177" t="str">
        <f>IF(nomemp7="","",IF(patents6_2018="","",patents6_2018))</f>
        <v/>
      </c>
      <c r="FL8" s="177" t="str">
        <f>IF(nomemp7="","",IF(patents6_2019="","",patents6_2019))</f>
        <v/>
      </c>
      <c r="FM8" s="177" t="str">
        <f>IF(nomemp7="","",IF(patents6_2020="","",patents6_2020))</f>
        <v/>
      </c>
      <c r="FN8" s="177" t="str">
        <f>IF(nomemp7="","",IF(patents6_2021="","",patents6_2021))</f>
        <v/>
      </c>
      <c r="FO8" s="177" t="str">
        <f>IF(nomemp7="","",IF(patents6_2022="","",patents6_2022))</f>
        <v/>
      </c>
      <c r="FP8" s="177" t="str">
        <f>IF(nomemp7="","",IF(patents6_2023="","",patents6_2023))</f>
        <v/>
      </c>
      <c r="FQ8" s="177" t="str">
        <f>IF(nomemp7="","",IF(marques6_2017="","",marques6_2017))</f>
        <v/>
      </c>
      <c r="FR8" s="177" t="str">
        <f>IF(nomemp7="","",IF(marques6_2017="","",marques6_2017))</f>
        <v/>
      </c>
      <c r="FS8" s="177" t="str">
        <f>IF(nomemp7="","",IF(marques6_2018="","",marques6_2018))</f>
        <v/>
      </c>
      <c r="FT8" s="177" t="str">
        <f>IF(nomemp7="","",IF(marques6_2019="","",marques6_2019))</f>
        <v/>
      </c>
      <c r="FU8" s="177" t="str">
        <f>IF(nomemp7="","",IF(marques6_2020="","",marques6_2020))</f>
        <v/>
      </c>
      <c r="FV8" s="177" t="str">
        <f>IF(nomemp7="","",IF(marques6_2021="","",marques6_2021))</f>
        <v/>
      </c>
      <c r="FW8" s="177" t="str">
        <f>IF(nomemp7="","",IF(marques6_2022="","",marques6_2022))</f>
        <v/>
      </c>
      <c r="FX8" s="177" t="str">
        <f>IF(nomemp7="","",IF(marques6_2023="","",marques6_2023))</f>
        <v/>
      </c>
      <c r="FY8" s="177" t="str">
        <f>IF(nomemp7="","",IF(innoven6_2017="","",innoven6_2017))</f>
        <v/>
      </c>
      <c r="FZ8" s="177" t="str">
        <f>IF(nomemp7="","",IF(innoven6_2017="","",innoven6_2017))</f>
        <v/>
      </c>
      <c r="GA8" s="177" t="str">
        <f>IF(nomemp7="","",IF(innoven6_2018="","",innoven6_2018))</f>
        <v/>
      </c>
      <c r="GB8" s="177" t="str">
        <f>IF(nomemp7="","",IF(innoven6_2019="","",innoven6_2019))</f>
        <v/>
      </c>
      <c r="GC8" s="177" t="str">
        <f>IF(nomemp7="","",IF(innoven6_2020="","",innoven6_2020))</f>
        <v/>
      </c>
      <c r="GD8" s="177" t="str">
        <f>IF(nomemp7="","",IF(innoven6_2021="","",innoven6_2021))</f>
        <v/>
      </c>
      <c r="GE8" s="177" t="str">
        <f>IF(nomemp7="","",IF(innoven6_2022="","",innoven6_2022))</f>
        <v/>
      </c>
      <c r="GF8" s="177" t="str">
        <f>IF(nomemp7="","",IF(innoven6_2023="","",innoven6_2023))</f>
        <v/>
      </c>
      <c r="GG8" s="177" t="str">
        <f>IF(nomemp7="","",IF(llocsdetreball6_2017="","",llocsdetreball6_2017))</f>
        <v/>
      </c>
      <c r="GH8" s="177" t="str">
        <f>IF(nomemp7="","",IF(llocsdetreball6_2017="","",llocsdetreball6_2017))</f>
        <v/>
      </c>
      <c r="GI8" s="177" t="str">
        <f>IF(nomemp7="","",IF(llocsdetreball6_2018="","",llocsdetreball6_2018))</f>
        <v/>
      </c>
      <c r="GJ8" s="177" t="str">
        <f>IF(nomemp7="","",IF(llocsdetreball6_2019="","",llocsdetreball6_2019))</f>
        <v/>
      </c>
      <c r="GK8" s="177" t="str">
        <f>IF(nomemp7="","",IF(llocsdetreball6_2020="","",llocsdetreball6_2020))</f>
        <v/>
      </c>
      <c r="GL8" s="177" t="str">
        <f>IF(nomemp7="","",IF(llocsdetreball6_2021="","",llocsdetreball6_2021))</f>
        <v/>
      </c>
      <c r="GM8" s="177" t="str">
        <f>IF(nomemp7="","",IF(llocsdetreball6_2022="","",llocsdetreball6_2022))</f>
        <v/>
      </c>
      <c r="GN8" s="177" t="str">
        <f>IF(nomemp7="","",IF(llocsdetreball6_2023="","",llocsdetreball6_2023))</f>
        <v/>
      </c>
      <c r="GO8" s="177" t="str">
        <f>IF(nomemp7="","",IF(formacio6_2017="","",formacio6_2017))</f>
        <v/>
      </c>
      <c r="GP8" s="177" t="str">
        <f>IF(nomemp7="","",IF(formacio6_2017="","",formacio6_2017))</f>
        <v/>
      </c>
      <c r="GQ8" s="177" t="str">
        <f>IF(nomemp7="","",IF(formacio6_2018="","",formacio6_2018))</f>
        <v/>
      </c>
      <c r="GR8" s="177" t="str">
        <f>IF(nomemp7="","",IF(formacio6_2019="","",formacio6_2019))</f>
        <v/>
      </c>
      <c r="GS8" s="177" t="str">
        <f>IF(nomemp7="","",IF(formacio6_2020="","",formacio6_2020))</f>
        <v/>
      </c>
      <c r="GT8" s="177" t="str">
        <f>IF(nomemp7="","",IF(formacio6_2021="","",formacio6_2021))</f>
        <v/>
      </c>
      <c r="GU8" s="177" t="str">
        <f>IF(nomemp7="","",IF(formacio6_2022="","",formacio6_2022))</f>
        <v/>
      </c>
      <c r="GV8" s="177" t="str">
        <f>IF(nomemp7="","",IF(formacio6_2023="","",formacio6_2023))</f>
        <v/>
      </c>
      <c r="GW8" s="177" t="str">
        <f>IF(nomemp7="","",IF(ingressos6_2017="","",ingressos6_2017))</f>
        <v/>
      </c>
      <c r="GX8" s="177" t="str">
        <f>IF(nomemp7="","",IF(ingressos6_2017="","",ingressos6_2017))</f>
        <v/>
      </c>
      <c r="GY8" s="177" t="str">
        <f>IF(nomemp7="","",IF(ingressos6_2018="","",ingressos6_2018))</f>
        <v/>
      </c>
      <c r="GZ8" s="177" t="str">
        <f>IF(nomemp7="","",IF(ingressos6_2019="","",ingressos6_2019))</f>
        <v/>
      </c>
      <c r="HA8" s="177" t="str">
        <f>IF(nomemp7="","",IF(ingressos6_2020="","",ingressos6_2020))</f>
        <v/>
      </c>
      <c r="HB8" s="177" t="str">
        <f>IF(nomemp7="","",IF(ingressos6_2021="","",ingressos6_2021))</f>
        <v/>
      </c>
      <c r="HC8" s="177" t="str">
        <f>IF(nomemp7="","",IF(ingressos6_2022="","",ingressos6_2022))</f>
        <v/>
      </c>
      <c r="HD8" s="177" t="str">
        <f>IF(nomemp7="","",IF(ingressos6_2023="","",ingressos6_2023))</f>
        <v/>
      </c>
      <c r="HE8" s="177" t="str">
        <f>IF(nomemp7="","",IF(exportacions6_2017="","",exportacions6_2017))</f>
        <v/>
      </c>
      <c r="HF8" s="177" t="str">
        <f>IF(nomemp7="","",IF(exportacions6_2017="","",exportacions6_2017))</f>
        <v/>
      </c>
      <c r="HG8" s="177" t="str">
        <f>IF(nomemp7="","",IF(exportacions6_2018="","",exportacions6_2018))</f>
        <v/>
      </c>
      <c r="HH8" s="177" t="str">
        <f>IF(nomemp7="","",IF(exportacions6_2019="","",exportacions6_2019))</f>
        <v/>
      </c>
      <c r="HI8" s="177" t="str">
        <f>IF(nomemp7="","",IF(exportacions6_2020="","",exportacions6_2020))</f>
        <v/>
      </c>
      <c r="HJ8" s="177" t="str">
        <f>IF(nomemp7="","",IF(exportacions6_2021="","",exportacions6_2021))</f>
        <v/>
      </c>
      <c r="HK8" s="177" t="str">
        <f>IF(nomemp7="","",IF(exportacions6_2022="","",exportacions6_2022))</f>
        <v/>
      </c>
      <c r="HL8" s="177" t="str">
        <f>IF(nomemp7="","",IF(exportacions6_2023="","",exportacions6_2023))</f>
        <v/>
      </c>
      <c r="HM8" s="177" t="str">
        <f>IF(nomemp7="","",IF(oportunitats6_2017="","",oportunitats6_2017))</f>
        <v/>
      </c>
      <c r="HN8" s="177" t="str">
        <f>IF(nomemp7="","",IF(oportunitats6_2017="","",oportunitats6_2017))</f>
        <v/>
      </c>
      <c r="HO8" s="177" t="str">
        <f>IF(nomemp7="","",IF(oportunitats6_2018="","",oportunitats6_2018))</f>
        <v/>
      </c>
      <c r="HP8" s="177" t="str">
        <f>IF(nomemp7="","",IF(oportunitats6_2019="","",oportunitats6_2019))</f>
        <v/>
      </c>
      <c r="HQ8" s="177" t="str">
        <f>IF(nomemp7="","",IF(oportunitats6_2020="","",oportunitats6_2020))</f>
        <v/>
      </c>
      <c r="HR8" s="177" t="str">
        <f>IF(nomemp7="","",IF(oportunitats6_2021="","",oportunitats6_2021))</f>
        <v/>
      </c>
      <c r="HS8" s="177" t="str">
        <f>IF(nomemp7="","",IF(oportunitats6_2022="","",oportunitats6_2022))</f>
        <v/>
      </c>
      <c r="HT8" s="177" t="str">
        <f>IF(nomemp7="","",IF(oportunitats6_2023="","",oportunitats6_2023))</f>
        <v/>
      </c>
      <c r="HU8" s="177" t="str">
        <f>IF(nomemp7="","",IF(productivitat6_2017="","",productivitat6_2017))</f>
        <v/>
      </c>
      <c r="HV8" s="177" t="str">
        <f>IF(nomemp7="","",IF(productivitat6_2017="","",productivitat6_2017))</f>
        <v/>
      </c>
      <c r="HW8" s="177" t="str">
        <f>IF(nomemp7="","",IF(productivitat6_2018="","",productivitat6_2018))</f>
        <v/>
      </c>
      <c r="HX8" s="177" t="str">
        <f>IF(nomemp7="","",IF(productivitat6_2019="","",productivitat6_2019))</f>
        <v/>
      </c>
      <c r="HY8" s="177" t="str">
        <f>IF(nomemp7="","",IF(productivitat6_2020="","",productivitat6_2020))</f>
        <v/>
      </c>
      <c r="HZ8" s="177" t="str">
        <f>IF(nomemp7="","",IF(productivitat6_2021="","",productivitat6_2021))</f>
        <v/>
      </c>
      <c r="IA8" s="177" t="str">
        <f>IF(nomemp7="","",IF(productivitat6_2022="","",productivitat6_2022))</f>
        <v/>
      </c>
      <c r="IB8" s="177" t="str">
        <f>IF(nomemp7="","",IF(productivitat6_2023="","",productivitat6_2023))</f>
        <v/>
      </c>
      <c r="IC8" s="177" t="str">
        <f>IF(nomemp7="","",IF(aigua6_2017="","",aigua6_2017))</f>
        <v/>
      </c>
      <c r="ID8" s="177" t="str">
        <f>IF(nomemp7="","",IF(aigua6_2017="","",aigua6_2017))</f>
        <v/>
      </c>
      <c r="IE8" s="177" t="str">
        <f>IF(nomemp7="","",IF(aigua6_2018="","",aigua6_2018))</f>
        <v/>
      </c>
      <c r="IF8" s="177" t="str">
        <f>IF(nomemp7="","",IF(aigua6_2019="","",aigua6_2019))</f>
        <v/>
      </c>
      <c r="IG8" s="177" t="str">
        <f>IF(nomemp7="","",IF(aigua6_2020="","",aigua6_2020))</f>
        <v/>
      </c>
      <c r="IH8" s="177" t="str">
        <f>IF(nomemp7="","",IF(aigua6_2021="","",aigua6_2021))</f>
        <v/>
      </c>
      <c r="II8" s="177" t="str">
        <f>IF(nomemp7="","",IF(aigua6_2022="","",aigua6_2022))</f>
        <v/>
      </c>
      <c r="IJ8" s="177" t="str">
        <f>IF(nomemp7="","",IF(aigua6_2023="","",aigua6_2023))</f>
        <v/>
      </c>
      <c r="IK8" s="177" t="str">
        <f>IF(nomemp7="","",IF(energia6_2017="","",energia6_2017))</f>
        <v/>
      </c>
      <c r="IL8" s="177" t="str">
        <f>IF(nomemp7="","",IF(energia6_2017="","",energia6_2017))</f>
        <v/>
      </c>
      <c r="IM8" s="177" t="str">
        <f>IF(nomemp7="","",IF(energia6_2018="","",energia6_2018))</f>
        <v/>
      </c>
      <c r="IN8" s="177" t="str">
        <f>IF(nomemp7="","",IF(energia6_2019="","",energia6_2019))</f>
        <v/>
      </c>
      <c r="IO8" s="177" t="str">
        <f>IF(nomemp7="","",IF(energia6_2020="","",energia6_2020))</f>
        <v/>
      </c>
      <c r="IP8" s="177" t="str">
        <f>IF(nomemp7="","",IF(energia6_2021="","",energia6_2021))</f>
        <v/>
      </c>
      <c r="IQ8" s="177" t="str">
        <f>IF(nomemp7="","",IF(energia6_2022="","",energia6_2022))</f>
        <v/>
      </c>
      <c r="IR8" s="177" t="str">
        <f>IF(nomemp7="","",IF(energia6_2023="","",energia6_2023))</f>
        <v/>
      </c>
      <c r="IS8" s="177" t="str">
        <f>IF(nomemp7="","",IF(emissions6_2017="","",emissions6_2017))</f>
        <v/>
      </c>
      <c r="IT8" s="177" t="str">
        <f>IF(nomemp7="","",IF(emissions6_2017="","",emissions6_2017))</f>
        <v/>
      </c>
      <c r="IU8" s="177" t="str">
        <f>IF(nomemp7="","",IF(emissions6_2018="","",emissions6_2018))</f>
        <v/>
      </c>
      <c r="IV8" s="177" t="str">
        <f>IF(nomemp7="","",IF(emissions6_2019="","",emissions6_2019))</f>
        <v/>
      </c>
      <c r="IW8" s="177" t="str">
        <f>IF(nomemp7="","",IF(emissions6_2020="","",emissions6_2020))</f>
        <v/>
      </c>
      <c r="IX8" s="177" t="str">
        <f>IF(nomemp7="","",IF(emissions6_2021="","",emissions6_2021))</f>
        <v/>
      </c>
      <c r="IY8" s="177" t="str">
        <f>IF(nomemp7="","",IF(emissions6_2022="","",emissions6_2022))</f>
        <v/>
      </c>
      <c r="IZ8" s="177" t="str">
        <f>IF(nomemp7="","",IF(emissions6_2023="","",emissions6_2023))</f>
        <v/>
      </c>
      <c r="JA8" s="177" t="str">
        <f>IF(nomemp7="","",IF(residus6_2017="","",residus6_2017))</f>
        <v/>
      </c>
      <c r="JB8" s="177" t="str">
        <f>IF(nomemp7="","",IF(residus6_2017="","",residus6_2017))</f>
        <v/>
      </c>
      <c r="JC8" s="177" t="str">
        <f>IF(nomemp7="","",IF(residus6_2018="","",residus6_2018))</f>
        <v/>
      </c>
      <c r="JD8" s="177" t="str">
        <f>IF(nomemp7="","",IF(residus6_2019="","",residus6_2019))</f>
        <v/>
      </c>
      <c r="JE8" s="177" t="str">
        <f>IF(nomemp7="","",IF(residus6_2020="","",residus6_2020))</f>
        <v/>
      </c>
      <c r="JF8" s="177" t="str">
        <f>IF(nomemp7="","",IF(residus6_2021="","",residus6_2021))</f>
        <v/>
      </c>
      <c r="JG8" s="177" t="str">
        <f>IF(nomemp7="","",IF(residus6_2022="","",residus6_2022))</f>
        <v/>
      </c>
      <c r="JH8" s="177" t="str">
        <f>IF(nomemp7="","",IF(residus6_2023="","",residus6_2023))</f>
        <v/>
      </c>
      <c r="JJ8" s="38"/>
      <c r="JK8" s="38"/>
      <c r="JL8" s="38"/>
    </row>
    <row r="9" spans="1:272" s="177" customFormat="1" x14ac:dyDescent="0.25">
      <c r="A9" s="177" t="str">
        <f>IF(nomemp8="","",codiexp1)</f>
        <v/>
      </c>
      <c r="B9" s="177" t="str">
        <f>UPPER(IF(nomemp8=" ", " ",nomemp8))</f>
        <v/>
      </c>
      <c r="C9" s="177" t="str">
        <f>UPPER(IF(nif_8= " ", " ", nif_8))</f>
        <v/>
      </c>
      <c r="D9" s="177" t="str">
        <f>IF(nomemp8="", "",UPPER(IF(codiparticipant7="","",codiparticipant7)))</f>
        <v/>
      </c>
      <c r="E9" s="177" t="str">
        <f>IF(nomemp8="", "",IF(ajudes7_2016="", "",ajudes7_2016))</f>
        <v/>
      </c>
      <c r="F9" s="177" t="str">
        <f>IF(nomemp8="", "",IF(ajudes7_2017="", "",ajudes7_2017))</f>
        <v/>
      </c>
      <c r="G9" s="177" t="str">
        <f>IF(nomemp8="",  "",IF(ajudes7_2018="", "",ajudes7_2018))</f>
        <v/>
      </c>
      <c r="H9" s="177" t="str">
        <f>IF(nomemp8="", "",IF(ajudes7_2019="", "",ajudes7_2019))</f>
        <v/>
      </c>
      <c r="I9" s="177" t="str">
        <f>IF(nomemp8="", "",IF(ajudes7_2020="", "",ajudes7_2020))</f>
        <v/>
      </c>
      <c r="J9" s="177" t="str">
        <f>IF(nomemp8="", "",IF(ajudes7_2021="", "",ajudes7_2021))</f>
        <v/>
      </c>
      <c r="K9" s="177" t="str">
        <f>IF(nomemp8="", "",IF(ajudes7_2022="", "",ajudes7_2022))</f>
        <v/>
      </c>
      <c r="L9" s="177" t="str">
        <f>IF(nomemp8="", "",IF(ajudes7_2023="", "",ajudes7_2023))</f>
        <v/>
      </c>
      <c r="M9" s="177" t="str">
        <f>IF(nomemp8= " ", " ", IF(subvencions7_2016="","",subvencions7_2016))</f>
        <v/>
      </c>
      <c r="N9" s="177" t="str">
        <f>IF(nomemp8= " ", " ", IF(subvencions7_2017="","",subvencions7_2017))</f>
        <v/>
      </c>
      <c r="O9" s="177" t="str">
        <f>IF(nomemp8= " ", " ", IF(subvencions7_2018="","",subvencions7_2018))</f>
        <v/>
      </c>
      <c r="P9" s="177" t="str">
        <f>IF(nomemp8= " ", " ", IF(subvencions7_2019="","",subvencions7_2019))</f>
        <v/>
      </c>
      <c r="Q9" s="177" t="str">
        <f>IF(nomemp8= " ", " ", IF(subvencions7_2020="","",subvencions7_2020))</f>
        <v/>
      </c>
      <c r="R9" s="177" t="str">
        <f>IF(nomemp8= " ", " ", IF(subvencions7_2021="","",subvencions7_2021))</f>
        <v/>
      </c>
      <c r="S9" s="177" t="str">
        <f>IF(nomemp8= " ", " ", IF(subvencions7_2022="","",subvencions7_2022))</f>
        <v/>
      </c>
      <c r="T9" s="177" t="str">
        <f>IF(nomemp8= " ", " ", IF(subvencions7_2023="","",subvencions7_2023))</f>
        <v/>
      </c>
      <c r="U9" s="177" t="str">
        <f>IF(nomemp8= " ", "",IF(iprivadaipublica7_2016="","",iprivadaipublica7_2016))</f>
        <v/>
      </c>
      <c r="V9" s="177" t="str">
        <f>IF(nomemp8= " ", "",IF(iprivadaipublica7_2017="","",iprivadaipublica7_2017))</f>
        <v/>
      </c>
      <c r="W9" s="177" t="str">
        <f>IF(nomemp8= " ", "",IF(iprivadaipublica7_2018="","",iprivadaipublica7_2018))</f>
        <v/>
      </c>
      <c r="X9" s="177" t="str">
        <f>IF(nomemp8= " ", "",IF(iprivadaipublica7_2019="","",iprivadaipublica7_2019))</f>
        <v/>
      </c>
      <c r="Y9" s="177" t="str">
        <f>IF(nomemp8= " ", "",IF(iprivadaipublica7_2020="","",iprivadaipublica7_2020))</f>
        <v/>
      </c>
      <c r="Z9" s="177" t="str">
        <f>IF(nomemp8= " ", "",IF(iprivadaipublica7_2021="","",iprivadaipublica7_2021))</f>
        <v/>
      </c>
      <c r="AA9" s="177" t="str">
        <f>IF(nomemp8= " ", "",IF(iprivadaipublica7_2022="","",iprivadaipublica7_2022))</f>
        <v/>
      </c>
      <c r="AB9" s="177" t="str">
        <f>IF(nomemp8= " ", "",IF(iprivadaipublica7_2023="","",iprivadaipublica7_2023))</f>
        <v/>
      </c>
      <c r="AC9" s="177" t="str">
        <f>IF(nomemp8="","",IF(copera7_2016="","",copera7_2016))</f>
        <v/>
      </c>
      <c r="AD9" s="177" t="str">
        <f>IF(nomemp8="","",IF(copera7_2017="","",copera7_2017))</f>
        <v/>
      </c>
      <c r="AE9" s="177" t="str">
        <f>IF(nomemp8="","",IF(copera7_2018="","",copera7_2018))</f>
        <v/>
      </c>
      <c r="AF9" s="177" t="str">
        <f>IF(nomemp8="","",IF(copera7_2019="","",copera7_2019))</f>
        <v/>
      </c>
      <c r="AG9" s="177" t="str">
        <f>IF(nomemp8="","",IF(copera7_2020="","",copera7_2020))</f>
        <v/>
      </c>
      <c r="AH9" s="177" t="str">
        <f>IF(nomemp8="","",IF(copera7_2021="","",copera7_2021))</f>
        <v/>
      </c>
      <c r="AI9" s="177" t="str">
        <f>IF(nomemp8="","",IF(copera7_2022="","",copera7_2022))</f>
        <v/>
      </c>
      <c r="AJ9" s="177" t="str">
        <f>IF(nomemp8="","",IF(copera7_2023="","",copera7_2023))</f>
        <v/>
      </c>
      <c r="AK9" s="177" t="str">
        <f>IF(nomemp8="","",IF(investigadorshomes7_2016="","",investigadorshomes7_2016))</f>
        <v/>
      </c>
      <c r="AL9" s="177" t="str">
        <f>IF(nomemp8="","",IF(investigadorshomes7_2017="","",investigadorshomes7_2017))</f>
        <v/>
      </c>
      <c r="AM9" s="177" t="str">
        <f>IF(nomemp8="","",IF(investigadorshomes7_2018="","",investigadorshomes7_2018))</f>
        <v/>
      </c>
      <c r="AN9" s="177" t="str">
        <f>IF(nomemp8="","",IF(investigadorshomes7_2019="","",investigadorshomes7_2019))</f>
        <v/>
      </c>
      <c r="AO9" s="177" t="str">
        <f>IF(nomemp8="","",IF(investigadorshomes7_2020="","",investigadorshomes7_2020))</f>
        <v/>
      </c>
      <c r="AP9" s="177" t="str">
        <f>IF(nomemp8="","",IF(investigadorshomes7_2021="","",investigadorshomes7_2021))</f>
        <v/>
      </c>
      <c r="AQ9" s="177" t="str">
        <f>IF(nomemp8="","",IF(investigadorshomes7_2022="","",investigadorshomes7_2022))</f>
        <v/>
      </c>
      <c r="AR9" s="177" t="str">
        <f>IF(nomemp8="","",IF(investigadorshomes7_2023="","",investigadorshomes7_2023))</f>
        <v/>
      </c>
      <c r="AS9" s="177" t="str">
        <f>IF(nomemp8="","",IF(investigadorsdones7_2016= "","",investigadorsdones7_2016))</f>
        <v/>
      </c>
      <c r="AT9" s="177" t="str">
        <f>IF(nomemp8="","",IF(investigadorsdones7_2017= "","",investigadorsdones7_2017))</f>
        <v/>
      </c>
      <c r="AU9" s="177" t="str">
        <f>IF(nomemp8="","",IF(investigadorsdones7_2018= "","",investigadorsdones7_2018))</f>
        <v/>
      </c>
      <c r="AV9" s="177" t="str">
        <f>IF(nomemp8="","",IF(investigadorsdones7_2019= "","",investigadorsdones7_2019))</f>
        <v/>
      </c>
      <c r="AW9" s="177" t="str">
        <f>IF(nomemp8="","",IF(investigadorsdones7_2020= "","",investigadorsdones7_2020))</f>
        <v/>
      </c>
      <c r="AX9" s="177" t="str">
        <f>IF(nomemp8="","",IF(investigadorsdones7_2021= "","",investigadorsdones7_2021))</f>
        <v/>
      </c>
      <c r="AY9" s="177" t="str">
        <f>IF(nomemp8="","",IF(investigadorsdones7_2022= "","",investigadorsdones7_2022))</f>
        <v/>
      </c>
      <c r="AZ9" s="177" t="str">
        <f>IF(nomemp8="","",IF(investigadorsdones7_2023= "","",investigadorsdones7_2023))</f>
        <v/>
      </c>
      <c r="BA9" s="177" t="str">
        <f>IF(nomemp8=" ", " ",IF(investigadorstotal7_2016="","",investigadorstotal7_2016))</f>
        <v/>
      </c>
      <c r="BB9" s="177" t="str">
        <f>IF(nomemp8=" ", " ",IF(investigadorstotal7_2017="","",investigadorstotal7_2017))</f>
        <v/>
      </c>
      <c r="BC9" s="177" t="str">
        <f>IF(nomemp8=" ", " ",IF(investigadorstotal7_2018="","",investigadorstotal7_2018))</f>
        <v/>
      </c>
      <c r="BD9" s="177" t="str">
        <f>IF(nomemp8=" ", " ",IF(investigadorstotal7_2019="","",investigadorstotal7_2019))</f>
        <v/>
      </c>
      <c r="BE9" s="177" t="str">
        <f>IF(nomemp8=" ", " ",IF(investigadorstotal7_2020="","",investigadorstotal7_2020))</f>
        <v/>
      </c>
      <c r="BF9" s="177" t="str">
        <f>IF(nomemp8=" ", " ",IF(investigadorstotal7_2021="","",investigadorstotal7_2021))</f>
        <v/>
      </c>
      <c r="BG9" s="177" t="str">
        <f>IF(nomemp8=" ", " ",IF(investigadorstotal7_2022="","",investigadorstotal7_2022))</f>
        <v/>
      </c>
      <c r="BH9" s="177" t="str">
        <f>IF(nomemp8=" ", " ",IF(investigadorstotal7_2023="","",investigadorstotal7_2023))</f>
        <v/>
      </c>
      <c r="BI9" s="177" t="str">
        <f>IF(nomemp8=" ", " ",IF(certificacio7_2016="","",certificacio7_2016))</f>
        <v/>
      </c>
      <c r="BJ9" s="177" t="str">
        <f>IF(nomemp8=" ", " ",IF(certificacio7_2017="","",certificacio7_2017))</f>
        <v/>
      </c>
      <c r="BK9" s="177" t="str">
        <f>IF(nomemp8=" ", " ",IF(certificacio7_2018="","",certificacio7_2018))</f>
        <v/>
      </c>
      <c r="BL9" s="177" t="str">
        <f>IF(nomemp8=" "," ",IF(certificacio7_2019="","",certificacio7_2019))</f>
        <v/>
      </c>
      <c r="BM9" s="177" t="str">
        <f>IF(nomemp8=" ", " ",IF(certificacio7_2020="","",certificacio7_2020))</f>
        <v/>
      </c>
      <c r="BN9" s="177" t="str">
        <f>IF(nomemp8=" ", " ",IF(certificacio7_2021="","",certificacio7_2021))</f>
        <v/>
      </c>
      <c r="BO9" s="177" t="str">
        <f>IF(nomemp8=" ", " ",IF(certificacio7_2022="","",certificacio7_2022))</f>
        <v/>
      </c>
      <c r="BP9" s="177" t="str">
        <f>IF(nomemp8=" ", " ",IF(certificacio7_2023="","",certificacio7_2023))</f>
        <v/>
      </c>
      <c r="BQ9" s="177" t="str">
        <f>IF(nomemp8="","",IF(ipublica7_2016="","",ipublica7_2016))</f>
        <v/>
      </c>
      <c r="BR9" s="177" t="str">
        <f>IF(nomemp8="","",IF(ipublica7_2017="","",ipublica7_2017))</f>
        <v/>
      </c>
      <c r="BS9" s="177" t="str">
        <f>IF(nomemp8="","",IF(ipublica7_2018="","",ipublica7_2018))</f>
        <v/>
      </c>
      <c r="BT9" s="177" t="str">
        <f>IF(nomemp8="","",IF(ipublica7_2019="","",ipublica7_2019))</f>
        <v/>
      </c>
      <c r="BU9" s="177" t="str">
        <f>IF(nomemp8="","",IF(ipublica7_2020="","",ipublica7_2020))</f>
        <v/>
      </c>
      <c r="BV9" s="177" t="str">
        <f>IF(nomemp8="","",IF(ipublica7_2021="","",ipublica7_2021))</f>
        <v/>
      </c>
      <c r="BW9" s="177" t="str">
        <f>IF(nomemp8="","",IF(ipublica7_2022="","",ipublica7_2022))</f>
        <v/>
      </c>
      <c r="BX9" s="177" t="str">
        <f>IF(nomemp8="","",IF(ipublica7_2023="","",ipublica7_2023))</f>
        <v/>
      </c>
      <c r="BY9" s="177" t="str">
        <f>IF(nomemp8="","",IF(iprivada7_2016="","",iprivada7_2016))</f>
        <v/>
      </c>
      <c r="BZ9" s="177" t="str">
        <f>IF(nomemp8="","",IF(iprivada7_2017="","",iprivada7_2017))</f>
        <v/>
      </c>
      <c r="CA9" s="177" t="str">
        <f>IF(nomemp8="","",IF(iprivada7_2018="","",iprivada7_2018))</f>
        <v/>
      </c>
      <c r="CB9" s="177" t="str">
        <f>IF(nomemp8="","",IF(iprivada7_2019="","",iprivada7_2019))</f>
        <v/>
      </c>
      <c r="CC9" s="177" t="str">
        <f>IF(nomemp8="","",IF(iprivada7_2020="","",iprivada7_2020))</f>
        <v/>
      </c>
      <c r="CD9" s="177" t="str">
        <f>IF(nomemp8="","",IF(iprivada7_2021="","",iprivada7_2021))</f>
        <v/>
      </c>
      <c r="CE9" s="177" t="str">
        <f>IF(nomemp8="","",IF(iprivada7_2022="","",iprivada7_2022))</f>
        <v/>
      </c>
      <c r="CF9" s="177" t="str">
        <f>IF(nomemp8="","",IF(iprivada7_2023="","",iprivada7_2023))</f>
        <v/>
      </c>
      <c r="CG9" s="177" t="str">
        <f>IF(nomemp8="","",IF(investigadorstotalprojecte7_2016="","",investigadorstotalprojecte7_2016))</f>
        <v/>
      </c>
      <c r="CH9" s="177" t="str">
        <f>IF(nomemp8="","",IF(investigadorstotalprojecte7_2017="","",investigadorstotalprojecte7_2017))</f>
        <v/>
      </c>
      <c r="CI9" s="177" t="str">
        <f>IF(nomemp8="","",IF(investigadorstotalprojecte7_2018="","",investigadorstotalprojecte7_2018))</f>
        <v/>
      </c>
      <c r="CJ9" s="177" t="str">
        <f>IF(nomemp8="","",IF(investigadorstotalprojecte7_2019="","",investigadorstotalprojecte7_2019))</f>
        <v/>
      </c>
      <c r="CK9" s="177" t="str">
        <f>IF(nomemp8="","",IF(investigadorstotalprojecte7_2020="","",investigadorstotalprojecte7_2020))</f>
        <v/>
      </c>
      <c r="CL9" s="177" t="str">
        <f>IF(nomemp8="","",IF(investigadorstotalprojecte7_2021="","",investigadorstotalprojecte7_2021))</f>
        <v/>
      </c>
      <c r="CM9" s="177" t="str">
        <f>IF(nomemp8="","",IF(investigadorstotalprojecte7_2022="","",investigadorstotalprojecte7_2022))</f>
        <v/>
      </c>
      <c r="CN9" s="177" t="str">
        <f>IF(nomemp8="","",IF(investigadorstotalprojecte7_2023="","",investigadorstotalprojecte7_2023))</f>
        <v/>
      </c>
      <c r="CO9" s="177" t="str">
        <f>IF(nomemp8="","",IF(investigadorshomesprojecte7_2016="","",investigadorshomesprojecte7_2016))</f>
        <v/>
      </c>
      <c r="CP9" s="177" t="str">
        <f>IF(nomemp8="","",IF(investigadorshomesprojecte7_2017="","",investigadorshomesprojecte7_2017))</f>
        <v/>
      </c>
      <c r="CQ9" s="177" t="str">
        <f>IF(nomemp8="","",IF(investigadorshomesprojecte7_2018="","",investigadorshomesprojecte7_2018))</f>
        <v/>
      </c>
      <c r="CR9" s="177" t="str">
        <f>IF(nomemp8="","",IF(investigadorshomesprojecte7_2019="","",investigadorshomesprojecte7_2019))</f>
        <v/>
      </c>
      <c r="CS9" s="177" t="str">
        <f>IF(nomemp8="","",IF(investigadorshomesprojecte7_2020="","",investigadorshomesprojecte7_2020))</f>
        <v/>
      </c>
      <c r="CT9" s="177" t="str">
        <f>IF(nomemp8="","",IF(investigadorshomesprojecte7_2021="","",investigadorshomesprojecte7_2021))</f>
        <v/>
      </c>
      <c r="CU9" s="177" t="str">
        <f>IF(nomemp8="","",IF(investigadorshomesprojecte7_2022="","",investigadorshomesprojecte7_2022))</f>
        <v/>
      </c>
      <c r="CV9" s="177" t="str">
        <f>IF(nomemp8="","",IF(investigadorshomesprojecte7_2023="","",investigadorshomesprojecte7_2023))</f>
        <v/>
      </c>
      <c r="CW9" s="177" t="str">
        <f>IF(nomemp8="","",IF(investigadorsdonesprojecte7_2016="","",investigadorsdonesprojecte7_2016))</f>
        <v/>
      </c>
      <c r="CX9" s="177" t="str">
        <f>IF(nomemp8="","",IF(investigadorsdonesprojecte7_2017="","",investigadorsdonesprojecte7_2017))</f>
        <v/>
      </c>
      <c r="CY9" s="177" t="str">
        <f>IF(nomemp8="","",IF(investigadorsdonesprojecte7_2018="","",investigadorsdonesprojecte7_2018))</f>
        <v/>
      </c>
      <c r="CZ9" s="177" t="str">
        <f>IF(nomemp8="","",IF(investigadorsdonesprojecte7_2019="","",investigadorsdonesprojecte7_2019))</f>
        <v/>
      </c>
      <c r="DA9" s="177" t="str">
        <f>IF(nomemp8="","",IF(investigadorsdonesprojecte7_2020="","",investigadorsdonesprojecte7_2020))</f>
        <v/>
      </c>
      <c r="DB9" s="177" t="str">
        <f>IF(nomemp8="","",IF(investigadorsdonesprojecte7_2021="","",investigadorsdonesprojecte7_2021))</f>
        <v/>
      </c>
      <c r="DC9" s="177" t="str">
        <f>IF(nomemp8="","",IF(investigadorsdonesprojecte7_2022="","",investigadorsdonesprojecte7_2022))</f>
        <v/>
      </c>
      <c r="DD9" s="177" t="str">
        <f>IF(nomemp8="","",IF(investigadorsdonesprojecte7_2023="","",investigadorsdonesprojecte7_2023))</f>
        <v/>
      </c>
      <c r="DE9" s="177" t="str">
        <f>IF(nomemp8="","",IF(empresesprivades7_2017="","",empresesprivades7_2017))</f>
        <v/>
      </c>
      <c r="DF9" s="177" t="str">
        <f>IF(nomemp8="","",IF(empresesprivades7_2017="","",empresesprivades7_2017))</f>
        <v/>
      </c>
      <c r="DG9" s="177" t="str">
        <f>IF(nomemp8="","",IF(empresesprivades7_2018="","",empresesprivades7_2018))</f>
        <v/>
      </c>
      <c r="DH9" s="177" t="str">
        <f>IF(nomemp8="","",IF(empresesprivades7_2019="","",empresesprivades7_2019))</f>
        <v/>
      </c>
      <c r="DI9" s="177" t="str">
        <f>IF(nomemp8="","",IF(empresesprivades7_2020="","",empresesprivades7_2020))</f>
        <v/>
      </c>
      <c r="DJ9" s="177" t="str">
        <f>IF(nomemp8="","",IF(empresesprivades7_2021="","",empresesprivades7_2021))</f>
        <v/>
      </c>
      <c r="DK9" s="177" t="str">
        <f>IF(nomemp8="","",IF(empresesprivades7_2022="","",empresesprivades7_2022))</f>
        <v/>
      </c>
      <c r="DL9" s="177" t="str">
        <f>IF(nomemp8="","",IF(empresesprivades7_2023="","",empresesprivades7_2023))</f>
        <v/>
      </c>
      <c r="DM9" s="177" t="str">
        <f>IF(nomemp8="","",IF(empresespubliques7_2017="","",empresespubliques7_2017))</f>
        <v/>
      </c>
      <c r="DN9" s="177" t="str">
        <f>IF(nomemp8="","",IF(empresespubliques7_2017="","",empresespubliques7_2017))</f>
        <v/>
      </c>
      <c r="DO9" s="177" t="str">
        <f>IF(nomemp8="","",IF(empresespubliques7_2018="","",empresespubliques7_2018))</f>
        <v/>
      </c>
      <c r="DP9" s="177" t="str">
        <f>IF(nomemp8="","",IF(empresespubliques7_2019="","",empresespubliques7_2019))</f>
        <v/>
      </c>
      <c r="DQ9" s="177" t="str">
        <f>IF(nomemp8="","",IF(empresespubliques7_2020="","",empresespubliques7_2020))</f>
        <v/>
      </c>
      <c r="DR9" s="177" t="str">
        <f>IF(nomemp8="","",IF(empresespubliques7_2021="","",empresespubliques7_2021))</f>
        <v/>
      </c>
      <c r="DS9" s="177" t="str">
        <f>IF(nomemp8="","",IF(empresespubliques7_2022="","",empresespubliques7_2022))</f>
        <v/>
      </c>
      <c r="DT9" s="177" t="str">
        <f>IF(nomemp8="","",IF(empresespubliques7_2023="","",empresespubliques7_2023))</f>
        <v/>
      </c>
      <c r="DU9" s="177" t="str">
        <f>IF(nomemp8="","",IF(centrestecnologics7_2017="","",centrestecnologics7_2017))</f>
        <v/>
      </c>
      <c r="DV9" s="177" t="str">
        <f>IF(nomemp8="","",IF(centrestecnologics7_2017="","",centrestecnologics7_2017))</f>
        <v/>
      </c>
      <c r="DW9" s="177" t="str">
        <f>IF(nomemp8="","",IF(centrestecnologics7_2018="","",centrestecnologics7_2018))</f>
        <v/>
      </c>
      <c r="DX9" s="177" t="str">
        <f>IF(nomemp8="","",IF(centrestecnologics7_2019="","",centrestecnologics7_2019))</f>
        <v/>
      </c>
      <c r="DY9" s="177" t="str">
        <f>IF(nomemp8="","",IF(centrestecnologics7_2020="","",centrestecnologics7_2020))</f>
        <v/>
      </c>
      <c r="DZ9" s="177" t="str">
        <f>IF(nomemp8="","",IF(centrestecnologics7_2021="","",centrestecnologics7_2021))</f>
        <v/>
      </c>
      <c r="EA9" s="177" t="str">
        <f>IF(nomemp8="","",IF(centrestecnologics7_2022="","",centrestecnologics7_2022))</f>
        <v/>
      </c>
      <c r="EB9" s="177" t="str">
        <f>IF(nomemp8="","",IF(centrestecnologics7_2023="","",centrestecnologics7_2023))</f>
        <v/>
      </c>
      <c r="EC9" s="177" t="str">
        <f>IF(nomemp8="","",IF(universitats7_2017="","",universitats7_2017))</f>
        <v/>
      </c>
      <c r="ED9" s="177" t="str">
        <f>IF(nomemp8="","",IF(universitats7_2017="","",universitats7_2017))</f>
        <v/>
      </c>
      <c r="EE9" s="177" t="str">
        <f>IF(nomemp8="","",IF(universitats7_2018="","",universitats7_2018))</f>
        <v/>
      </c>
      <c r="EF9" s="177" t="str">
        <f>IF(nomemp8="","",IF(universitats7_2019="","",universitats7_2019))</f>
        <v/>
      </c>
      <c r="EG9" s="177" t="str">
        <f>IF(nomemp8="","",IF(universitats7_2020="","",universitats7_2020))</f>
        <v/>
      </c>
      <c r="EH9" s="177" t="str">
        <f>IF(nomemp8="","",IF(universitats7_2021="","",universitats7_2021))</f>
        <v/>
      </c>
      <c r="EI9" s="177" t="str">
        <f>IF(nomemp8="","",IF(universitats7_2022="","",universitats7_2022))</f>
        <v/>
      </c>
      <c r="EJ9" s="177" t="str">
        <f>IF(nomemp8="","",IF(universitats7_2023="","",universitats7_2023))</f>
        <v/>
      </c>
      <c r="EK9" s="177" t="str">
        <f>IF(nomemp8="","",IF(centresrecerca7_2017="","",centresrecerca7_2017))</f>
        <v/>
      </c>
      <c r="EL9" s="177" t="str">
        <f>IF(nomemp8="","",IF(centresrecerca7_2017="","",centresrecerca7_2017))</f>
        <v/>
      </c>
      <c r="EM9" s="177" t="str">
        <f>IF(nomemp8="","",IF(centresrecerca7_2018="","",centresrecerca7_2018))</f>
        <v/>
      </c>
      <c r="EN9" s="177" t="str">
        <f>IF(nomemp8="","",IF(centresrecerca7_2019="","",centresrecerca7_2019))</f>
        <v/>
      </c>
      <c r="EO9" s="177" t="str">
        <f>IF(nomemp8="","",IF(centresrecerca7_2020="","",centresrecerca7_2020))</f>
        <v/>
      </c>
      <c r="EP9" s="177" t="str">
        <f>IF(nomemp8="","",IF(centresrecerca7_2021="","",centresrecerca7_2021))</f>
        <v/>
      </c>
      <c r="EQ9" s="177" t="str">
        <f>IF(nomemp8="","",IF(centresrecerca7_2022="","",centresrecerca7_2022))</f>
        <v/>
      </c>
      <c r="ER9" s="177" t="str">
        <f>IF(nomemp8="","",IF(centresrecerca7_2023="","",centresrecerca7_2023))</f>
        <v/>
      </c>
      <c r="ES9" s="177" t="str">
        <f>IF(nomemp8="","",IF(infraestructures7_2017="","",infraestructures7_2017))</f>
        <v/>
      </c>
      <c r="ET9" s="177" t="str">
        <f>IF(nomemp8="","",IF(infraestructures7_2017="","",infraestructures7_2017))</f>
        <v/>
      </c>
      <c r="EU9" s="177" t="str">
        <f>IF(nomemp8="","",IF(infraestructures7_2018="","",infraestructures7_2018))</f>
        <v/>
      </c>
      <c r="EV9" s="177" t="str">
        <f>IF(nomemp8="","",IF(infraestructures7_2019="","",infraestructures7_2019))</f>
        <v/>
      </c>
      <c r="EW9" s="177" t="str">
        <f>IF(nomemp8="","",IF(infraestructures7_2020="","",infraestructures7_2020))</f>
        <v/>
      </c>
      <c r="EX9" s="177" t="str">
        <f>IF(nomemp8="","",IF(infraestructures7_2021="","",infraestructures7_2021))</f>
        <v/>
      </c>
      <c r="EY9" s="177" t="str">
        <f>IF(nomemp8="","",IF(infraestructures7_2022="","",infraestructures7_2022))</f>
        <v/>
      </c>
      <c r="EZ9" s="177" t="str">
        <f>IF(nomemp8="","",IF(infraestructures7_2023="","",infraestructures7_2023))</f>
        <v/>
      </c>
      <c r="FA9" s="177" t="str">
        <f>IF(nomemp8="","",IF(spinoff7_2017="","",spinoff7_2017))</f>
        <v/>
      </c>
      <c r="FB9" s="177" t="str">
        <f>IF(nomemp8="","",IF(spinoff7_2017="","",spinoff7_2017))</f>
        <v/>
      </c>
      <c r="FC9" s="177" t="str">
        <f>IF(nomemp8="","",IF(spinoff7_2018="","",spinoff7_2018))</f>
        <v/>
      </c>
      <c r="FD9" s="177" t="str">
        <f>IF(nomemp8="","",IF(spinoff7_2019="","",spinoff7_2019))</f>
        <v/>
      </c>
      <c r="FE9" s="177" t="str">
        <f>IF(nomemp8="","",IF(spinoff7_2020="","",spinoff7_2020))</f>
        <v/>
      </c>
      <c r="FF9" s="177" t="str">
        <f>IF(nomemp8="","",IF(spinoff7_2021="","",spinoff7_2021))</f>
        <v/>
      </c>
      <c r="FG9" s="177" t="str">
        <f>IF(nomemp8="","",IF(spinoff7_2022="","",spinoff7_2022))</f>
        <v/>
      </c>
      <c r="FH9" s="177" t="str">
        <f>IF(nomemp8="","",IF(spinoff7_2023="","",spinoff7_2023))</f>
        <v/>
      </c>
      <c r="FI9" s="177" t="str">
        <f>IF(nomemp8="","",IF(patents7_2017="","",patents7_2017))</f>
        <v/>
      </c>
      <c r="FJ9" s="177" t="str">
        <f>IF(nomemp8="","",IF(patents7_2017="","",patents7_2017))</f>
        <v/>
      </c>
      <c r="FK9" s="177" t="str">
        <f>IF(nomemp8="","",IF(patents7_2018="","",patents7_2018))</f>
        <v/>
      </c>
      <c r="FL9" s="177" t="str">
        <f>IF(nomemp8="","",IF(patents7_2019="","",patents7_2019))</f>
        <v/>
      </c>
      <c r="FM9" s="177" t="str">
        <f>IF(nomemp8="","",IF(patents7_2020="","",patents7_2020))</f>
        <v/>
      </c>
      <c r="FN9" s="177" t="str">
        <f>IF(nomemp8="","",IF(patents7_2021="","",patents7_2021))</f>
        <v/>
      </c>
      <c r="FO9" s="177" t="str">
        <f>IF(nomemp8="","",IF(patents7_2022="","",patents7_2022))</f>
        <v/>
      </c>
      <c r="FP9" s="177" t="str">
        <f>IF(nomemp8="","",IF(patents7_2023="","",patents7_2023))</f>
        <v/>
      </c>
      <c r="FQ9" s="177" t="str">
        <f>IF(nomemp8="","",IF(marques7_2017="","",marques7_2017))</f>
        <v/>
      </c>
      <c r="FR9" s="177" t="str">
        <f>IF(nomemp8="","",IF(marques7_2017="","",marques7_2017))</f>
        <v/>
      </c>
      <c r="FS9" s="177" t="str">
        <f>IF(nomemp8="","",IF(marques7_2018="","",marques7_2018))</f>
        <v/>
      </c>
      <c r="FT9" s="177" t="str">
        <f>IF(nomemp8="","",IF(marques7_2019="","",marques7_2019))</f>
        <v/>
      </c>
      <c r="FU9" s="177" t="str">
        <f>IF(nomemp8="","",IF(marques7_2020="","",marques7_2020))</f>
        <v/>
      </c>
      <c r="FV9" s="177" t="str">
        <f>IF(nomemp8="","",IF(marques7_2021="","",marques7_2021))</f>
        <v/>
      </c>
      <c r="FW9" s="177" t="str">
        <f>IF(nomemp8="","",IF(marques7_2022="","",marques7_2022))</f>
        <v/>
      </c>
      <c r="FX9" s="177" t="str">
        <f>IF(nomemp8="","",IF(marques7_2023="","",marques7_2023))</f>
        <v/>
      </c>
      <c r="FY9" s="177" t="str">
        <f>IF(nomemp8="","",IF(innoven7_2017="","",innoven7_2017))</f>
        <v/>
      </c>
      <c r="FZ9" s="177" t="str">
        <f>IF(nomemp8="","",IF(innoven7_2017="","",innoven7_2017))</f>
        <v/>
      </c>
      <c r="GA9" s="177" t="str">
        <f>IF(nomemp8="","",IF(innoven7_2018="","",innoven7_2018))</f>
        <v/>
      </c>
      <c r="GB9" s="177" t="str">
        <f>IF(nomemp8="","",IF(innoven7_2019="","",innoven7_2019))</f>
        <v/>
      </c>
      <c r="GC9" s="177" t="str">
        <f>IF(nomemp8="","",IF(innoven7_2020="","",innoven7_2020))</f>
        <v/>
      </c>
      <c r="GD9" s="177" t="str">
        <f>IF(nomemp8="","",IF(innoven7_2021="","",innoven7_2021))</f>
        <v/>
      </c>
      <c r="GE9" s="177" t="str">
        <f>IF(nomemp8="","",IF(innoven7_2022="","",innoven7_2022))</f>
        <v/>
      </c>
      <c r="GF9" s="177" t="str">
        <f>IF(nomemp8="","",IF(innoven7_2023="","",innoven7_2023))</f>
        <v/>
      </c>
      <c r="GG9" s="177" t="str">
        <f>IF(nomemp8="","",IF(llocsdetreball7_2017="","",llocsdetreball7_2017))</f>
        <v/>
      </c>
      <c r="GH9" s="177" t="str">
        <f>IF(nomemp8="","",IF(llocsdetreball7_2017="","",llocsdetreball7_2017))</f>
        <v/>
      </c>
      <c r="GI9" s="177" t="str">
        <f>IF(nomemp8="","",IF(llocsdetreball7_2018="","",llocsdetreball7_2018))</f>
        <v/>
      </c>
      <c r="GJ9" s="177" t="str">
        <f>IF(nomemp8="","",IF(llocsdetreball7_2019="","",llocsdetreball7_2019))</f>
        <v/>
      </c>
      <c r="GK9" s="177" t="str">
        <f>IF(nomemp8="","",IF(llocsdetreball7_2020="","",llocsdetreball7_2020))</f>
        <v/>
      </c>
      <c r="GL9" s="177" t="str">
        <f>IF(nomemp8="","",IF(llocsdetreball7_2021="","",llocsdetreball7_2021))</f>
        <v/>
      </c>
      <c r="GM9" s="177" t="str">
        <f>IF(nomemp8="","",IF(llocsdetreball7_2022="","",llocsdetreball7_2022))</f>
        <v/>
      </c>
      <c r="GN9" s="177" t="str">
        <f>IF(nomemp8="","",IF(llocsdetreball7_2023="","",llocsdetreball7_2023))</f>
        <v/>
      </c>
      <c r="GO9" s="177" t="str">
        <f>IF(nomemp8="","",IF(formacio7_2017="","",formacio7_2017))</f>
        <v/>
      </c>
      <c r="GP9" s="177" t="str">
        <f>IF(nomemp8="","",IF(formacio7_2017="","",formacio7_2017))</f>
        <v/>
      </c>
      <c r="GQ9" s="177" t="str">
        <f>IF(nomemp8="","",IF(formacio7_2018="","",formacio7_2018))</f>
        <v/>
      </c>
      <c r="GR9" s="177" t="str">
        <f>IF(nomemp8="","",IF(formacio7_2019="","",formacio7_2019))</f>
        <v/>
      </c>
      <c r="GS9" s="177" t="str">
        <f>IF(nomemp8="","",IF(formacio7_2020="","",formacio7_2020))</f>
        <v/>
      </c>
      <c r="GT9" s="177" t="str">
        <f>IF(nomemp8="","",IF(formacio7_2021="","",formacio7_2021))</f>
        <v/>
      </c>
      <c r="GU9" s="177" t="str">
        <f>IF(nomemp8="","",IF(formacio7_2022="","",formacio7_2022))</f>
        <v/>
      </c>
      <c r="GV9" s="177" t="str">
        <f>IF(nomemp8="","",IF(formacio7_2023="","",formacio7_2023))</f>
        <v/>
      </c>
      <c r="GW9" s="177" t="str">
        <f>IF(nomemp8="","",IF(ingressos7_2017="","",ingressos7_2017))</f>
        <v/>
      </c>
      <c r="GX9" s="177" t="str">
        <f>IF(nomemp8="","",IF(ingressos7_2017="","",ingressos7_2017))</f>
        <v/>
      </c>
      <c r="GY9" s="177" t="str">
        <f>IF(nomemp8="","",IF(ingressos7_2018="","",ingressos7_2018))</f>
        <v/>
      </c>
      <c r="GZ9" s="177" t="str">
        <f>IF(nomemp8="","",IF(ingressos7_2019="","",ingressos7_2019))</f>
        <v/>
      </c>
      <c r="HA9" s="177" t="str">
        <f>IF(nomemp8="","",IF(ingressos7_2020="","",ingressos7_2020))</f>
        <v/>
      </c>
      <c r="HB9" s="177" t="str">
        <f>IF(nomemp8="","",IF(ingressos7_2021="","",ingressos7_2021))</f>
        <v/>
      </c>
      <c r="HC9" s="177" t="str">
        <f>IF(nomemp8="","",IF(ingressos7_2022="","",ingressos7_2022))</f>
        <v/>
      </c>
      <c r="HD9" s="177" t="str">
        <f>IF(nomemp8="","",IF(ingressos7_2023="","",ingressos7_2023))</f>
        <v/>
      </c>
      <c r="HE9" s="177" t="str">
        <f>IF(nomemp8="","",IF(exportacions7_2017="","",exportacions7_2017))</f>
        <v/>
      </c>
      <c r="HF9" s="177" t="str">
        <f>IF(nomemp8="","",IF(exportacions7_2017="","",exportacions7_2017))</f>
        <v/>
      </c>
      <c r="HG9" s="177" t="str">
        <f>IF(nomemp8="","",IF(exportacions7_2018="","",exportacions7_2018))</f>
        <v/>
      </c>
      <c r="HH9" s="177" t="str">
        <f>IF(nomemp8="","",IF(exportacions7_2019="","",exportacions7_2019))</f>
        <v/>
      </c>
      <c r="HI9" s="177" t="str">
        <f>IF(nomemp8="","",IF(exportacions7_2020="","",exportacions7_2020))</f>
        <v/>
      </c>
      <c r="HJ9" s="177" t="str">
        <f>IF(nomemp8="","",IF(exportacions7_2021="","",exportacions7_2021))</f>
        <v/>
      </c>
      <c r="HK9" s="177" t="str">
        <f>IF(nomemp8="","",IF(exportacions7_2022="","",exportacions7_2022))</f>
        <v/>
      </c>
      <c r="HL9" s="177" t="str">
        <f>IF(nomemp8="","",IF(exportacions7_2023="","",exportacions7_2023))</f>
        <v/>
      </c>
      <c r="HM9" s="177" t="str">
        <f>IF(nomemp8="","",IF(oportunitats7_2017="","",oportunitats7_2017))</f>
        <v/>
      </c>
      <c r="HN9" s="177" t="str">
        <f>IF(nomemp8="","",IF(oportunitats7_2017="","",oportunitats7_2017))</f>
        <v/>
      </c>
      <c r="HO9" s="177" t="str">
        <f>IF(nomemp8="","",IF(oportunitats7_2018="","",oportunitats7_2018))</f>
        <v/>
      </c>
      <c r="HP9" s="177" t="str">
        <f>IF(nomemp8="","",IF(oportunitats7_2019="","",oportunitats7_2019))</f>
        <v/>
      </c>
      <c r="HQ9" s="177" t="str">
        <f>IF(nomemp8="","",IF(oportunitats7_2020="","",oportunitats7_2020))</f>
        <v/>
      </c>
      <c r="HR9" s="177" t="str">
        <f>IF(nomemp8="","",IF(oportunitats7_2021="","",oportunitats7_2021))</f>
        <v/>
      </c>
      <c r="HS9" s="177" t="str">
        <f>IF(nomemp8="","",IF(oportunitats7_2022="","",oportunitats7_2022))</f>
        <v/>
      </c>
      <c r="HT9" s="177" t="str">
        <f>IF(nomemp8="","",IF(oportunitats7_2023="","",oportunitats7_2023))</f>
        <v/>
      </c>
      <c r="HU9" s="177" t="str">
        <f>IF(nomemp8="","",IF(productivitat7_2017="","",productivitat7_2017))</f>
        <v/>
      </c>
      <c r="HV9" s="177" t="str">
        <f>IF(nomemp8="","",IF(productivitat7_2017="","",productivitat7_2017))</f>
        <v/>
      </c>
      <c r="HW9" s="177" t="str">
        <f>IF(nomemp8="","",IF(productivitat7_2018="","",productivitat7_2018))</f>
        <v/>
      </c>
      <c r="HX9" s="177" t="str">
        <f>IF(nomemp8="","",IF(productivitat7_2019="","",productivitat7_2019))</f>
        <v/>
      </c>
      <c r="HY9" s="177" t="str">
        <f>IF(nomemp8="","",IF(productivitat7_2020="","",productivitat7_2020))</f>
        <v/>
      </c>
      <c r="HZ9" s="177" t="str">
        <f>IF(nomemp8="","",IF(productivitat7_2021="","",productivitat7_2021))</f>
        <v/>
      </c>
      <c r="IA9" s="177" t="str">
        <f>IF(nomemp8="","",IF(productivitat7_2022="","",productivitat7_2022))</f>
        <v/>
      </c>
      <c r="IB9" s="177" t="str">
        <f>IF(nomemp8="","",IF(productivitat7_2023="","",productivitat7_2023))</f>
        <v/>
      </c>
      <c r="IC9" s="177" t="str">
        <f>IF(nomemp8="","",IF(aigua7_2017="","",aigua7_2017))</f>
        <v/>
      </c>
      <c r="ID9" s="177" t="str">
        <f>IF(nomemp8="","",IF(aigua7_2017="","",aigua7_2017))</f>
        <v/>
      </c>
      <c r="IE9" s="177" t="str">
        <f>IF(nomemp8="","",IF(aigua7_2018="","",aigua7_2018))</f>
        <v/>
      </c>
      <c r="IF9" s="177" t="str">
        <f>IF(nomemp8="","",IF(aigua7_2019="","",aigua7_2019))</f>
        <v/>
      </c>
      <c r="IG9" s="177" t="str">
        <f>IF(nomemp8="","",IF(aigua7_2020="","",aigua7_2020))</f>
        <v/>
      </c>
      <c r="IH9" s="177" t="str">
        <f>IF(nomemp8="","",IF(aigua7_2021="","",aigua7_2021))</f>
        <v/>
      </c>
      <c r="II9" s="177" t="str">
        <f>IF(nomemp8="","",IF(aigua7_2022="","",aigua7_2022))</f>
        <v/>
      </c>
      <c r="IJ9" s="177" t="str">
        <f>IF(nomemp8="","",IF(aigua7_2023="","",aigua7_2023))</f>
        <v/>
      </c>
      <c r="IK9" s="177" t="str">
        <f>IF(nomemp8="","",IF(energia7_2017="","",energia7_2017))</f>
        <v/>
      </c>
      <c r="IL9" s="177" t="str">
        <f>IF(nomemp8="","",IF(energia7_2017="","",energia7_2017))</f>
        <v/>
      </c>
      <c r="IM9" s="177" t="str">
        <f>IF(nomemp8="","",IF(energia7_2018="","",energia7_2018))</f>
        <v/>
      </c>
      <c r="IN9" s="177" t="str">
        <f>IF(nomemp8="","",IF(energia7_2019="","",energia7_2019))</f>
        <v/>
      </c>
      <c r="IO9" s="177" t="str">
        <f>IF(nomemp8="","",IF(energia7_2020="","",energia7_2020))</f>
        <v/>
      </c>
      <c r="IP9" s="177" t="str">
        <f>IF(nomemp8="","",IF(energia7_2021="","",energia7_2021))</f>
        <v/>
      </c>
      <c r="IQ9" s="177" t="str">
        <f>IF(nomemp8="","",IF(energia7_2022="","",energia7_2022))</f>
        <v/>
      </c>
      <c r="IR9" s="177" t="str">
        <f>IF(nomemp8="","",IF(energia7_2023="","",energia7_2023))</f>
        <v/>
      </c>
      <c r="IS9" s="177" t="str">
        <f>IF(nomemp8="","",IF(emissions7_2017="","",emissions7_2017))</f>
        <v/>
      </c>
      <c r="IT9" s="177" t="str">
        <f>IF(nomemp8="","",IF(emissions7_2017="","",emissions7_2017))</f>
        <v/>
      </c>
      <c r="IU9" s="177" t="str">
        <f>IF(nomemp8="","",IF(emissions7_2018="","",emissions7_2018))</f>
        <v/>
      </c>
      <c r="IV9" s="177" t="str">
        <f>IF(nomemp8="","",IF(emissions7_2019="","",emissions7_2019))</f>
        <v/>
      </c>
      <c r="IW9" s="177" t="str">
        <f>IF(nomemp8="","",IF(emissions7_2020="","",emissions7_2020))</f>
        <v/>
      </c>
      <c r="IX9" s="177" t="str">
        <f>IF(nomemp8="","",IF(emissions7_2021="","",emissions7_2021))</f>
        <v/>
      </c>
      <c r="IY9" s="177" t="str">
        <f>IF(nomemp8="","",IF(emissions7_2022="","",emissions7_2022))</f>
        <v/>
      </c>
      <c r="IZ9" s="177" t="str">
        <f>IF(nomemp8="","",IF(emissions7_2023="","",emissions7_2023))</f>
        <v/>
      </c>
      <c r="JA9" s="177" t="str">
        <f>IF(nomemp8="","",IF(residus7_2017="","",residus7_2017))</f>
        <v/>
      </c>
      <c r="JB9" s="177" t="str">
        <f>IF(nomemp8="","",IF(residus7_2017="","",residus7_2017))</f>
        <v/>
      </c>
      <c r="JC9" s="177" t="str">
        <f>IF(nomemp8="","",IF(residus7_2018="","",residus7_2018))</f>
        <v/>
      </c>
      <c r="JD9" s="177" t="str">
        <f>IF(nomemp8="","",IF(residus7_2019="","",residus7_2019))</f>
        <v/>
      </c>
      <c r="JE9" s="177" t="str">
        <f>IF(nomemp8="","",IF(residus7_2020="","",residus7_2020))</f>
        <v/>
      </c>
      <c r="JF9" s="177" t="str">
        <f>IF(nomemp8="","",IF(residus7_2021="","",residus7_2021))</f>
        <v/>
      </c>
      <c r="JG9" s="177" t="str">
        <f>IF(nomemp8="","",IF(residus7_2022="","",residus7_2022))</f>
        <v/>
      </c>
      <c r="JH9" s="177" t="str">
        <f>IF(nomemp8="","",IF(residus7_2023="","",residus7_2023))</f>
        <v/>
      </c>
      <c r="JJ9" s="38"/>
      <c r="JK9" s="38"/>
      <c r="JL9" s="38"/>
    </row>
    <row r="10" spans="1:272" s="177" customFormat="1" x14ac:dyDescent="0.25">
      <c r="A10" s="177" t="str">
        <f>IF(nomemp9="","",codiexp1)</f>
        <v/>
      </c>
      <c r="B10" s="177" t="str">
        <f>UPPER(IF(nomemp9=" ", " ",nomemp9))</f>
        <v/>
      </c>
      <c r="C10" s="177" t="str">
        <f>UPPER(IF(nif_9= " ", " ", nif_9))</f>
        <v/>
      </c>
      <c r="D10" s="177" t="str">
        <f>IF(nomemp9="", "",UPPER(IF(codiparticipant8="","",codiparticipant8)))</f>
        <v/>
      </c>
      <c r="E10" s="177" t="str">
        <f>IF(nomemp9="", "",IF(ajudes8_2016="", "",ajudes8_2016))</f>
        <v/>
      </c>
      <c r="F10" s="177" t="str">
        <f>IF(nomemp9="", "",IF(ajudes8_2017="", "",ajudes8_2017))</f>
        <v/>
      </c>
      <c r="G10" s="177" t="str">
        <f>IF(nomemp9="",  "",IF(ajudes8_2018="", "",ajudes8_2018))</f>
        <v/>
      </c>
      <c r="H10" s="177" t="str">
        <f>IF(nomemp9="", "",IF(ajudes8_2019="", "",ajudes8_2019))</f>
        <v/>
      </c>
      <c r="I10" s="177" t="str">
        <f>IF(nomemp9="", "",IF(ajudes8_2020="", "",ajudes8_2020))</f>
        <v/>
      </c>
      <c r="J10" s="177" t="str">
        <f>IF(nomemp9="", "",IF(ajudes8_2021="", "",ajudes8_2021))</f>
        <v/>
      </c>
      <c r="K10" s="177" t="str">
        <f>IF(nomemp9="", "",IF(ajudes8_2022="", "",ajudes8_2022))</f>
        <v/>
      </c>
      <c r="L10" s="177" t="str">
        <f>IF(nomemp9="", "",IF(ajudes8_2023="", "",ajudes8_2023))</f>
        <v/>
      </c>
      <c r="M10" s="177" t="str">
        <f>IF(nomemp9= " ", " ", IF(subvencions8_2016="","",subvencions8_2016))</f>
        <v/>
      </c>
      <c r="N10" s="177" t="str">
        <f>IF(nomemp9= " ", " ", IF(subvencions8_2017="","",subvencions8_2017))</f>
        <v/>
      </c>
      <c r="O10" s="177" t="str">
        <f>IF(nomemp9= " ", " ", IF(subvencions8_2018="","",subvencions8_2018))</f>
        <v/>
      </c>
      <c r="P10" s="177" t="str">
        <f>IF(nomemp9= " ", " ", IF(subvencions8_2019="","",subvencions8_2019))</f>
        <v/>
      </c>
      <c r="Q10" s="177" t="str">
        <f>IF(nomemp9= " ", " ", IF(subvencions8_2020="","",subvencions8_2020))</f>
        <v/>
      </c>
      <c r="R10" s="177" t="str">
        <f>IF(nomemp9= " ", " ", IF(subvencions8_2021="","",subvencions8_2021))</f>
        <v/>
      </c>
      <c r="S10" s="177" t="str">
        <f>IF(nomemp9= " ", " ", IF(subvencions8_2022="","",subvencions8_2022))</f>
        <v/>
      </c>
      <c r="T10" s="177" t="str">
        <f>IF(nomemp9= " ", " ", IF(subvencions8_2023="","",subvencions8_2023))</f>
        <v/>
      </c>
      <c r="U10" s="177" t="str">
        <f>IF(nomemp9= " ", "",IF(iprivadaipublica8_2016="","",iprivadaipublica8_2016))</f>
        <v/>
      </c>
      <c r="V10" s="177" t="str">
        <f>IF(nomemp9= " ", "",IF(iprivadaipublica8_2017="","",iprivadaipublica8_2017))</f>
        <v/>
      </c>
      <c r="W10" s="177" t="str">
        <f>IF(nomemp9= " ", "",IF(iprivadaipublica8_2018="","",iprivadaipublica8_2018))</f>
        <v/>
      </c>
      <c r="X10" s="177" t="str">
        <f>IF(nomemp9= " ", "",IF(iprivadaipublica8_2019="","",iprivadaipublica8_2019))</f>
        <v/>
      </c>
      <c r="Y10" s="177" t="str">
        <f>IF(nomemp9= " ", "",IF(iprivadaipublica8_2020="","",iprivadaipublica8_2020))</f>
        <v/>
      </c>
      <c r="Z10" s="177" t="str">
        <f>IF(nomemp9= " ", "",IF(iprivadaipublica8_2021="","",iprivadaipublica8_2021))</f>
        <v/>
      </c>
      <c r="AA10" s="177" t="str">
        <f>IF(nomemp9= " ", "",IF(iprivadaipublica8_2022="","",iprivadaipublica8_2022))</f>
        <v/>
      </c>
      <c r="AB10" s="177" t="str">
        <f>IF(nomemp9= " ", "",IF(iprivadaipublica8_2023="","",iprivadaipublica8_2023))</f>
        <v/>
      </c>
      <c r="AC10" s="177" t="str">
        <f>IF(nomemp9="","",IF(copera8_2016="","",copera8_2016))</f>
        <v/>
      </c>
      <c r="AD10" s="177" t="str">
        <f>IF(nomemp9="","",IF(copera8_2017="","",copera8_2017))</f>
        <v/>
      </c>
      <c r="AE10" s="177" t="str">
        <f>IF(nomemp9="","",IF(copera8_2018="","",copera8_2018))</f>
        <v/>
      </c>
      <c r="AF10" s="177" t="str">
        <f>IF(nomemp9="","",IF(copera8_2019="","",copera8_2019))</f>
        <v/>
      </c>
      <c r="AG10" s="177" t="str">
        <f>IF(nomemp9="","",IF(copera8_2020="","",copera8_2020))</f>
        <v/>
      </c>
      <c r="AH10" s="177" t="str">
        <f>IF(nomemp9="","",IF(copera8_2021="","",copera8_2021))</f>
        <v/>
      </c>
      <c r="AI10" s="177" t="str">
        <f>IF(nomemp9="","",IF(copera8_2022="","",copera8_2022))</f>
        <v/>
      </c>
      <c r="AJ10" s="177" t="str">
        <f>IF(nomemp9="","",IF(copera8_2023="","",copera8_2023))</f>
        <v/>
      </c>
      <c r="AK10" s="177" t="str">
        <f>IF(nomemp9="","",IF(investigadorshomes8_2016="","",investigadorshomes8_2016))</f>
        <v/>
      </c>
      <c r="AL10" s="177" t="str">
        <f>IF(nomemp9="","",IF(investigadorshomes8_2017="","",investigadorshomes8_2017))</f>
        <v/>
      </c>
      <c r="AM10" s="177" t="str">
        <f>IF(nomemp9="","",IF(investigadorshomes8_2018="","",investigadorshomes8_2018))</f>
        <v/>
      </c>
      <c r="AN10" s="177" t="str">
        <f>IF(nomemp9="","",IF(investigadorshomes8_2019="","",investigadorshomes8_2019))</f>
        <v/>
      </c>
      <c r="AO10" s="177" t="str">
        <f>IF(nomemp9="","",IF(investigadorshomes8_2020="","",investigadorshomes8_2020))</f>
        <v/>
      </c>
      <c r="AP10" s="177" t="str">
        <f>IF(nomemp9="","",IF(investigadorshomes8_2021="","",investigadorshomes8_2021))</f>
        <v/>
      </c>
      <c r="AQ10" s="177" t="str">
        <f>IF(nomemp9="","",IF(investigadorshomes8_2022="","",investigadorshomes8_2022))</f>
        <v/>
      </c>
      <c r="AR10" s="177" t="str">
        <f>IF(nomemp9="","",IF(investigadorshomes8_2023="","",investigadorshomes8_2023))</f>
        <v/>
      </c>
      <c r="AS10" s="177" t="str">
        <f>IF(nomemp9="","",IF(investigadorsdones8_2016= "","",investigadorsdones8_2016))</f>
        <v/>
      </c>
      <c r="AT10" s="177" t="str">
        <f>IF(nomemp9="","",IF(investigadorsdones8_2017= "","",investigadorsdones8_2017))</f>
        <v/>
      </c>
      <c r="AU10" s="177" t="str">
        <f>IF(nomemp9="","",IF(investigadorsdones8_2018= "","",investigadorsdones8_2018))</f>
        <v/>
      </c>
      <c r="AV10" s="177" t="str">
        <f>IF(nomemp9="","",IF(investigadorsdones8_2019= "","",investigadorsdones8_2019))</f>
        <v/>
      </c>
      <c r="AW10" s="177" t="str">
        <f>IF(nomemp9="","",IF(investigadorsdones8_2020= "","",investigadorsdones8_2020))</f>
        <v/>
      </c>
      <c r="AX10" s="177" t="str">
        <f>IF(nomemp9="","",IF(investigadorsdones8_2021= "","",investigadorsdones8_2021))</f>
        <v/>
      </c>
      <c r="AY10" s="177" t="str">
        <f>IF(nomemp9="","",IF(investigadorsdones8_2022= "","",investigadorsdones8_2022))</f>
        <v/>
      </c>
      <c r="AZ10" s="177" t="str">
        <f>IF(nomemp9="","",IF(investigadorsdones8_2023= "","",investigadorsdones8_2023))</f>
        <v/>
      </c>
      <c r="BA10" s="177" t="str">
        <f>IF(nomemp9=" ", " ",IF(investigadorstotal8_2016="","",investigadorstotal8_2016))</f>
        <v/>
      </c>
      <c r="BB10" s="177" t="str">
        <f>IF(nomemp9=" ", " ",IF(investigadorstotal8_2017="","",investigadorstotal8_2017))</f>
        <v/>
      </c>
      <c r="BC10" s="177" t="str">
        <f>IF(nomemp9=" ", " ",IF(investigadorstotal8_2018="","",investigadorstotal8_2018))</f>
        <v/>
      </c>
      <c r="BD10" s="177" t="str">
        <f>IF(nomemp9=" ", " ",IF(investigadorstotal8_2019="","",investigadorstotal8_2019))</f>
        <v/>
      </c>
      <c r="BE10" s="177" t="str">
        <f>IF(nomemp9=" ", " ",IF(investigadorstotal8_2020="","",investigadorstotal8_2020))</f>
        <v/>
      </c>
      <c r="BF10" s="177" t="str">
        <f>IF(nomemp9=" ", " ",IF(investigadorstotal8_2021="","",investigadorstotal8_2021))</f>
        <v/>
      </c>
      <c r="BG10" s="177" t="str">
        <f>IF(nomemp9=" ", " ",IF(investigadorstotal8_2022="","",investigadorstotal8_2022))</f>
        <v/>
      </c>
      <c r="BH10" s="177" t="str">
        <f>IF(nomemp9=" ", " ",IF(investigadorstotal8_2023="","",investigadorstotal8_2023))</f>
        <v/>
      </c>
      <c r="BI10" s="177" t="str">
        <f>IF(nomemp9=" ", " ",IF(certificacio8_2016="","",certificacio8_2016))</f>
        <v/>
      </c>
      <c r="BJ10" s="177" t="str">
        <f>IF(nomemp9=" ", " ",IF(certificacio8_2017="","",certificacio8_2017))</f>
        <v/>
      </c>
      <c r="BK10" s="177" t="str">
        <f>IF(nomemp9=" ", " ",IF(certificacio8_2018="","",certificacio8_2018))</f>
        <v/>
      </c>
      <c r="BL10" s="177" t="str">
        <f>IF(nomemp9=" "," ",IF(certificacio8_2019="","",certificacio8_2019))</f>
        <v/>
      </c>
      <c r="BM10" s="177" t="str">
        <f>IF(nomemp9=" ", " ",IF(certificacio8_2020="","",certificacio8_2020))</f>
        <v/>
      </c>
      <c r="BN10" s="177" t="str">
        <f>IF(nomemp9=" ", " ",IF(certificacio8_2021="","",certificacio8_2021))</f>
        <v/>
      </c>
      <c r="BO10" s="177" t="str">
        <f>IF(nomemp9=" ", " ",IF(certificacio8_2022="","",certificacio8_2022))</f>
        <v/>
      </c>
      <c r="BP10" s="177" t="str">
        <f>IF(nomemp9=" ", " ",IF(certificacio8_2023="","",certificacio8_2023))</f>
        <v/>
      </c>
      <c r="BQ10" s="177" t="str">
        <f>IF(nomemp9="","",IF(ipublica8_2016="","",ipublica8_2016))</f>
        <v/>
      </c>
      <c r="BR10" s="177" t="str">
        <f>IF(nomemp9="","",IF(ipublica8_2017="","",ipublica8_2017))</f>
        <v/>
      </c>
      <c r="BS10" s="177" t="str">
        <f>IF(nomemp9="","",IF(ipublica8_2018="","",ipublica8_2018))</f>
        <v/>
      </c>
      <c r="BT10" s="177" t="str">
        <f>IF(nomemp9="","",IF(ipublica8_2019="","",ipublica8_2019))</f>
        <v/>
      </c>
      <c r="BU10" s="177" t="str">
        <f>IF(nomemp9="","",IF(ipublica8_2020="","",ipublica8_2020))</f>
        <v/>
      </c>
      <c r="BV10" s="177" t="str">
        <f>IF(nomemp9="","",IF(ipublica8_2021="","",ipublica8_2021))</f>
        <v/>
      </c>
      <c r="BW10" s="177" t="str">
        <f>IF(nomemp9="","",IF(ipublica8_2022="","",ipublica8_2022))</f>
        <v/>
      </c>
      <c r="BX10" s="177" t="str">
        <f>IF(nomemp9="","",IF(ipublica8_2023="","",ipublica8_2023))</f>
        <v/>
      </c>
      <c r="BY10" s="177" t="str">
        <f>IF(nomemp9="","",IF(iprivada8_2016="","",iprivada8_2016))</f>
        <v/>
      </c>
      <c r="BZ10" s="177" t="str">
        <f>IF(nomemp9="","",IF(iprivada8_2017="","",iprivada8_2017))</f>
        <v/>
      </c>
      <c r="CA10" s="177" t="str">
        <f>IF(nomemp9="","",IF(iprivada8_2018="","",iprivada8_2018))</f>
        <v/>
      </c>
      <c r="CB10" s="177" t="str">
        <f>IF(nomemp9="","",IF(iprivada8_2019="","",iprivada8_2019))</f>
        <v/>
      </c>
      <c r="CC10" s="177" t="str">
        <f>IF(nomemp9="","",IF(iprivada8_2020="","",iprivada8_2020))</f>
        <v/>
      </c>
      <c r="CD10" s="177" t="str">
        <f>IF(nomemp9="","",IF(iprivada8_2021="","",iprivada8_2021))</f>
        <v/>
      </c>
      <c r="CE10" s="177" t="str">
        <f>IF(nomemp9="","",IF(iprivada8_2022="","",iprivada8_2022))</f>
        <v/>
      </c>
      <c r="CF10" s="177" t="str">
        <f>IF(nomemp9="","",IF(iprivada8_2023="","",iprivada8_2023))</f>
        <v/>
      </c>
      <c r="CG10" s="177" t="str">
        <f>IF(nomemp9="","",IF(investigadorstotalprojecte8_2016="","",investigadorstotalprojecte8_2016))</f>
        <v/>
      </c>
      <c r="CH10" s="177" t="str">
        <f>IF(nomemp9="","",IF(investigadorstotalprojecte8_2017="","",investigadorstotalprojecte8_2017))</f>
        <v/>
      </c>
      <c r="CI10" s="177" t="str">
        <f>IF(nomemp9="","",IF(investigadorstotalprojecte8_2018="","",investigadorstotalprojecte8_2018))</f>
        <v/>
      </c>
      <c r="CJ10" s="177" t="str">
        <f>IF(nomemp9="","",IF(investigadorstotalprojecte8_2019="","",investigadorstotalprojecte8_2019))</f>
        <v/>
      </c>
      <c r="CK10" s="177" t="str">
        <f>IF(nomemp9="","",IF(investigadorstotalprojecte8_2020="","",investigadorstotalprojecte8_2020))</f>
        <v/>
      </c>
      <c r="CL10" s="177" t="str">
        <f>IF(nomemp9="","",IF(investigadorstotalprojecte8_2021="","",investigadorstotalprojecte8_2021))</f>
        <v/>
      </c>
      <c r="CM10" s="177" t="str">
        <f>IF(nomemp9="","",IF(investigadorstotalprojecte8_2022="","",investigadorstotalprojecte8_2022))</f>
        <v/>
      </c>
      <c r="CN10" s="177" t="str">
        <f>IF(nomemp9="","",IF(investigadorstotalprojecte8_2023="","",investigadorstotalprojecte8_2023))</f>
        <v/>
      </c>
      <c r="CO10" s="177" t="str">
        <f>IF(nomemp9="","",IF(investigadorshomesprojecte8_2016="","",investigadorshomesprojecte8_2016))</f>
        <v/>
      </c>
      <c r="CP10" s="177" t="str">
        <f>IF(nomemp9="","",IF(investigadorshomesprojecte8_2017="","",investigadorshomesprojecte8_2017))</f>
        <v/>
      </c>
      <c r="CQ10" s="177" t="str">
        <f>IF(nomemp9="","",IF(investigadorshomesprojecte8_2018="","",investigadorshomesprojecte8_2018))</f>
        <v/>
      </c>
      <c r="CR10" s="177" t="str">
        <f>IF(nomemp9="","",IF(investigadorshomesprojecte8_2019="","",investigadorshomesprojecte8_2019))</f>
        <v/>
      </c>
      <c r="CS10" s="177" t="str">
        <f>IF(nomemp9="","",IF(investigadorshomesprojecte8_2020="","",investigadorshomesprojecte8_2020))</f>
        <v/>
      </c>
      <c r="CT10" s="177" t="str">
        <f>IF(nomemp9="","",IF(investigadorshomesprojecte8_2021="","",investigadorshomesprojecte8_2021))</f>
        <v/>
      </c>
      <c r="CU10" s="177" t="str">
        <f>IF(nomemp9="","",IF(investigadorshomesprojecte8_2022="","",investigadorshomesprojecte8_2022))</f>
        <v/>
      </c>
      <c r="CV10" s="177" t="str">
        <f>IF(nomemp9="","",IF(investigadorshomesprojecte8_2023="","",investigadorshomesprojecte8_2023))</f>
        <v/>
      </c>
      <c r="CW10" s="177" t="str">
        <f>IF(nomemp9="","",IF(investigadorsdonesprojecte8_2016="","",investigadorsdonesprojecte8_2016))</f>
        <v/>
      </c>
      <c r="CX10" s="177" t="str">
        <f>IF(nomemp9="","",IF(investigadorsdonesprojecte8_2017="","",investigadorsdonesprojecte8_2017))</f>
        <v/>
      </c>
      <c r="CY10" s="177" t="str">
        <f>IF(nomemp9="","",IF(investigadorsdonesprojecte8_2018="","",investigadorsdonesprojecte8_2018))</f>
        <v/>
      </c>
      <c r="CZ10" s="177" t="str">
        <f>IF(nomemp9="","",IF(investigadorsdonesprojecte8_2019="","",investigadorsdonesprojecte8_2019))</f>
        <v/>
      </c>
      <c r="DA10" s="177" t="str">
        <f>IF(nomemp9="","",IF(investigadorsdonesprojecte8_2020="","",investigadorsdonesprojecte8_2020))</f>
        <v/>
      </c>
      <c r="DB10" s="177" t="str">
        <f>IF(nomemp9="","",IF(investigadorsdonesprojecte8_2021="","",investigadorsdonesprojecte8_2021))</f>
        <v/>
      </c>
      <c r="DC10" s="177" t="str">
        <f>IF(nomemp9="","",IF(investigadorsdonesprojecte8_2022="","",investigadorsdonesprojecte8_2022))</f>
        <v/>
      </c>
      <c r="DD10" s="177" t="str">
        <f>IF(nomemp9="","",IF(investigadorsdonesprojecte8_2023="","",investigadorsdonesprojecte8_2023))</f>
        <v/>
      </c>
      <c r="DE10" s="177" t="str">
        <f>IF(nomemp9="","",IF(empresesprivades8_2017="","",empresesprivades8_2017))</f>
        <v/>
      </c>
      <c r="DF10" s="177" t="str">
        <f>IF(nomemp9="","",IF(empresesprivades8_2017="","",empresesprivades8_2017))</f>
        <v/>
      </c>
      <c r="DG10" s="177" t="str">
        <f>IF(nomemp9="","",IF(empresesprivades8_2018="","",empresesprivades8_2018))</f>
        <v/>
      </c>
      <c r="DH10" s="177" t="str">
        <f>IF(nomemp9="","",IF(empresesprivades8_2019="","",empresesprivades8_2019))</f>
        <v/>
      </c>
      <c r="DI10" s="177" t="str">
        <f>IF(nomemp9="","",IF(empresesprivades8_2020="","",empresesprivades8_2020))</f>
        <v/>
      </c>
      <c r="DJ10" s="177" t="str">
        <f>IF(nomemp9="","",IF(empresesprivades8_2021="","",empresesprivades8_2021))</f>
        <v/>
      </c>
      <c r="DK10" s="177" t="str">
        <f>IF(nomemp9="","",IF(empresesprivades8_2022="","",empresesprivades8_2022))</f>
        <v/>
      </c>
      <c r="DL10" s="177" t="str">
        <f>IF(nomemp9="","",IF(empresesprivades8_2023="","",empresesprivades8_2023))</f>
        <v/>
      </c>
      <c r="DM10" s="177" t="str">
        <f>IF(nomemp9="","",IF(empresespubliques8_2017="","",empresespubliques8_2017))</f>
        <v/>
      </c>
      <c r="DN10" s="177" t="str">
        <f>IF(nomemp9="","",IF(empresespubliques8_2017="","",empresespubliques8_2017))</f>
        <v/>
      </c>
      <c r="DO10" s="177" t="str">
        <f>IF(nomemp9="","",IF(empresespubliques8_2018="","",empresespubliques8_2018))</f>
        <v/>
      </c>
      <c r="DP10" s="177" t="str">
        <f>IF(nomemp9="","",IF(empresespubliques8_2019="","",empresespubliques8_2019))</f>
        <v/>
      </c>
      <c r="DQ10" s="177" t="str">
        <f>IF(nomemp9="","",IF(empresespubliques8_2020="","",empresespubliques8_2020))</f>
        <v/>
      </c>
      <c r="DR10" s="177" t="str">
        <f>IF(nomemp9="","",IF(empresespubliques8_2021="","",empresespubliques8_2021))</f>
        <v/>
      </c>
      <c r="DS10" s="177" t="str">
        <f>IF(nomemp9="","",IF(empresespubliques8_2022="","",empresespubliques8_2022))</f>
        <v/>
      </c>
      <c r="DT10" s="177" t="str">
        <f>IF(nomemp9="","",IF(empresespubliques8_2023="","",empresespubliques8_2023))</f>
        <v/>
      </c>
      <c r="DU10" s="177" t="str">
        <f>IF(nomemp9="","",IF(centrestecnologics8_2017="","",centrestecnologics8_2017))</f>
        <v/>
      </c>
      <c r="DV10" s="177" t="str">
        <f>IF(nomemp9="","",IF(centrestecnologics8_2017="","",centrestecnologics8_2017))</f>
        <v/>
      </c>
      <c r="DW10" s="177" t="str">
        <f>IF(nomemp9="","",IF(centrestecnologics8_2018="","",centrestecnologics8_2018))</f>
        <v/>
      </c>
      <c r="DX10" s="177" t="str">
        <f>IF(nomemp9="","",IF(centrestecnologics8_2019="","",centrestecnologics8_2019))</f>
        <v/>
      </c>
      <c r="DY10" s="177" t="str">
        <f>IF(nomemp9="","",IF(centrestecnologics8_2020="","",centrestecnologics8_2020))</f>
        <v/>
      </c>
      <c r="DZ10" s="177" t="str">
        <f>IF(nomemp9="","",IF(centrestecnologics8_2021="","",centrestecnologics8_2021))</f>
        <v/>
      </c>
      <c r="EA10" s="177" t="str">
        <f>IF(nomemp9="","",IF(centrestecnologics8_2022="","",centrestecnologics8_2022))</f>
        <v/>
      </c>
      <c r="EB10" s="177" t="str">
        <f>IF(nomemp9="","",IF(centrestecnologics8_2023="","",centrestecnologics8_2023))</f>
        <v/>
      </c>
      <c r="EC10" s="177" t="str">
        <f>IF(nomemp9="","",IF(universitats8_2017="","",universitats8_2017))</f>
        <v/>
      </c>
      <c r="ED10" s="177" t="str">
        <f>IF(nomemp9="","",IF(universitats8_2017="","",universitats8_2017))</f>
        <v/>
      </c>
      <c r="EE10" s="177" t="str">
        <f>IF(nomemp9="","",IF(universitats8_2018="","",universitats8_2018))</f>
        <v/>
      </c>
      <c r="EF10" s="177" t="str">
        <f>IF(nomemp9="","",IF(universitats8_2019="","",universitats8_2019))</f>
        <v/>
      </c>
      <c r="EG10" s="177" t="str">
        <f>IF(nomemp9="","",IF(universitats8_2020="","",universitats8_2020))</f>
        <v/>
      </c>
      <c r="EH10" s="177" t="str">
        <f>IF(nomemp9="","",IF(universitats8_2021="","",universitats8_2021))</f>
        <v/>
      </c>
      <c r="EI10" s="177" t="str">
        <f>IF(nomemp9="","",IF(universitats8_2022="","",universitats8_2022))</f>
        <v/>
      </c>
      <c r="EJ10" s="177" t="str">
        <f>IF(nomemp9="","",IF(universitats8_2023="","",universitats8_2023))</f>
        <v/>
      </c>
      <c r="EK10" s="177" t="str">
        <f>IF(nomemp9="","",IF(centresrecerca8_2017="","",centresrecerca8_2017))</f>
        <v/>
      </c>
      <c r="EL10" s="177" t="str">
        <f>IF(nomemp9="","",IF(centresrecerca8_2017="","",centresrecerca8_2017))</f>
        <v/>
      </c>
      <c r="EM10" s="177" t="str">
        <f>IF(nomemp9="","",IF(centresrecerca8_2018="","",centresrecerca8_2018))</f>
        <v/>
      </c>
      <c r="EN10" s="177" t="str">
        <f>IF(nomemp9="","",IF(centresrecerca8_2019="","",centresrecerca8_2019))</f>
        <v/>
      </c>
      <c r="EO10" s="177" t="str">
        <f>IF(nomemp9="","",IF(centresrecerca8_2020="","",centresrecerca8_2020))</f>
        <v/>
      </c>
      <c r="EP10" s="177" t="str">
        <f>IF(nomemp9="","",IF(centresrecerca8_2021="","",centresrecerca8_2021))</f>
        <v/>
      </c>
      <c r="EQ10" s="177" t="str">
        <f>IF(nomemp9="","",IF(centresrecerca8_2022="","",centresrecerca8_2022))</f>
        <v/>
      </c>
      <c r="ER10" s="177" t="str">
        <f>IF(nomemp9="","",IF(centresrecerca8_2023="","",centresrecerca8_2023))</f>
        <v/>
      </c>
      <c r="ES10" s="177" t="str">
        <f>IF(nomemp9="","",IF(infraestructures8_2017="","",infraestructures8_2017))</f>
        <v/>
      </c>
      <c r="ET10" s="177" t="str">
        <f>IF(nomemp9="","",IF(infraestructures8_2017="","",infraestructures8_2017))</f>
        <v/>
      </c>
      <c r="EU10" s="177" t="str">
        <f>IF(nomemp9="","",IF(infraestructures8_2018="","",infraestructures8_2018))</f>
        <v/>
      </c>
      <c r="EV10" s="177" t="str">
        <f>IF(nomemp9="","",IF(infraestructures8_2019="","",infraestructures8_2019))</f>
        <v/>
      </c>
      <c r="EW10" s="177" t="str">
        <f>IF(nomemp9="","",IF(infraestructures8_2020="","",infraestructures8_2020))</f>
        <v/>
      </c>
      <c r="EX10" s="177" t="str">
        <f>IF(nomemp9="","",IF(infraestructures8_2021="","",infraestructures8_2021))</f>
        <v/>
      </c>
      <c r="EY10" s="177" t="str">
        <f>IF(nomemp9="","",IF(infraestructures8_2022="","",infraestructures8_2022))</f>
        <v/>
      </c>
      <c r="EZ10" s="177" t="str">
        <f>IF(nomemp9="","",IF(infraestructures8_2023="","",infraestructures8_2023))</f>
        <v/>
      </c>
      <c r="FA10" s="177" t="str">
        <f>IF(nomemp9="","",IF(spinoff8_2017="","",spinoff8_2017))</f>
        <v/>
      </c>
      <c r="FB10" s="177" t="str">
        <f>IF(nomemp9="","",IF(spinoff8_2017="","",spinoff8_2017))</f>
        <v/>
      </c>
      <c r="FC10" s="177" t="str">
        <f>IF(nomemp9="","",IF(spinoff8_2018="","",spinoff8_2018))</f>
        <v/>
      </c>
      <c r="FD10" s="177" t="str">
        <f>IF(nomemp9="","",IF(spinoff8_2019="","",spinoff8_2019))</f>
        <v/>
      </c>
      <c r="FE10" s="177" t="str">
        <f>IF(nomemp9="","",IF(spinoff8_2020="","",spinoff8_2020))</f>
        <v/>
      </c>
      <c r="FF10" s="177" t="str">
        <f>IF(nomemp9="","",IF(spinoff8_2021="","",spinoff8_2021))</f>
        <v/>
      </c>
      <c r="FG10" s="177" t="str">
        <f>IF(nomemp9="","",IF(spinoff8_2022="","",spinoff8_2022))</f>
        <v/>
      </c>
      <c r="FH10" s="177" t="str">
        <f>IF(nomemp9="","",IF(spinoff8_2023="","",spinoff8_2023))</f>
        <v/>
      </c>
      <c r="FI10" s="177" t="str">
        <f>IF(nomemp9="","",IF(patents8_2017="","",patents8_2017))</f>
        <v/>
      </c>
      <c r="FJ10" s="177" t="str">
        <f>IF(nomemp9="","",IF(patents8_2017="","",patents8_2017))</f>
        <v/>
      </c>
      <c r="FK10" s="177" t="str">
        <f>IF(nomemp9="","",IF(patents8_2018="","",patents8_2018))</f>
        <v/>
      </c>
      <c r="FL10" s="177" t="str">
        <f>IF(nomemp9="","",IF(patents8_2019="","",patents8_2019))</f>
        <v/>
      </c>
      <c r="FM10" s="177" t="str">
        <f>IF(nomemp9="","",IF(patents8_2020="","",patents8_2020))</f>
        <v/>
      </c>
      <c r="FN10" s="177" t="str">
        <f>IF(nomemp9="","",IF(patents8_2021="","",patents8_2021))</f>
        <v/>
      </c>
      <c r="FO10" s="177" t="str">
        <f>IF(nomemp9="","",IF(patents8_2022="","",patents8_2022))</f>
        <v/>
      </c>
      <c r="FP10" s="177" t="str">
        <f>IF(nomemp9="","",IF(patents8_2023="","",patents8_2023))</f>
        <v/>
      </c>
      <c r="FQ10" s="177" t="str">
        <f>IF(nomemp9="","",IF(marques8_2017="","",marques8_2017))</f>
        <v/>
      </c>
      <c r="FR10" s="177" t="str">
        <f>IF(nomemp9="","",IF(marques8_2017="","",marques8_2017))</f>
        <v/>
      </c>
      <c r="FS10" s="177" t="str">
        <f>IF(nomemp9="","",IF(marques8_2018="","",marques8_2018))</f>
        <v/>
      </c>
      <c r="FT10" s="177" t="str">
        <f>IF(nomemp9="","",IF(marques8_2019="","",marques8_2019))</f>
        <v/>
      </c>
      <c r="FU10" s="177" t="str">
        <f>IF(nomemp9="","",IF(marques8_2020="","",marques8_2020))</f>
        <v/>
      </c>
      <c r="FV10" s="177" t="str">
        <f>IF(nomemp9="","",IF(marques8_2021="","",marques8_2021))</f>
        <v/>
      </c>
      <c r="FW10" s="177" t="str">
        <f>IF(nomemp9="","",IF(marques8_2022="","",marques8_2022))</f>
        <v/>
      </c>
      <c r="FX10" s="177" t="str">
        <f>IF(nomemp9="","",IF(marques8_2023="","",marques8_2023))</f>
        <v/>
      </c>
      <c r="FY10" s="177" t="str">
        <f>IF(nomemp9="","",IF(innoven8_2017="","",innoven8_2017))</f>
        <v/>
      </c>
      <c r="FZ10" s="177" t="str">
        <f>IF(nomemp9="","",IF(innoven8_2017="","",innoven8_2017))</f>
        <v/>
      </c>
      <c r="GA10" s="177" t="str">
        <f>IF(nomemp9="","",IF(innoven8_2018="","",innoven8_2018))</f>
        <v/>
      </c>
      <c r="GB10" s="177" t="str">
        <f>IF(nomemp9="","",IF(innoven8_2019="","",innoven8_2019))</f>
        <v/>
      </c>
      <c r="GC10" s="177" t="str">
        <f>IF(nomemp9="","",IF(innoven8_2020="","",innoven8_2020))</f>
        <v/>
      </c>
      <c r="GD10" s="177" t="str">
        <f>IF(nomemp9="","",IF(innoven8_2021="","",innoven8_2021))</f>
        <v/>
      </c>
      <c r="GE10" s="177" t="str">
        <f>IF(nomemp9="","",IF(innoven8_2022="","",innoven8_2022))</f>
        <v/>
      </c>
      <c r="GF10" s="177" t="str">
        <f>IF(nomemp9="","",IF(innoven8_2023="","",innoven8_2023))</f>
        <v/>
      </c>
      <c r="GG10" s="177" t="str">
        <f>IF(nomemp9="","",IF(llocsdetreball8_2017="","",llocsdetreball8_2017))</f>
        <v/>
      </c>
      <c r="GH10" s="177" t="str">
        <f>IF(nomemp9="","",IF(llocsdetreball8_2017="","",llocsdetreball8_2017))</f>
        <v/>
      </c>
      <c r="GI10" s="177" t="str">
        <f>IF(nomemp9="","",IF(llocsdetreball8_2018="","",llocsdetreball8_2018))</f>
        <v/>
      </c>
      <c r="GJ10" s="177" t="str">
        <f>IF(nomemp9="","",IF(llocsdetreball8_2019="","",llocsdetreball8_2019))</f>
        <v/>
      </c>
      <c r="GK10" s="177" t="str">
        <f>IF(nomemp9="","",IF(llocsdetreball8_2020="","",llocsdetreball8_2020))</f>
        <v/>
      </c>
      <c r="GL10" s="177" t="str">
        <f>IF(nomemp9="","",IF(llocsdetreball8_2021="","",llocsdetreball8_2021))</f>
        <v/>
      </c>
      <c r="GM10" s="177" t="str">
        <f>IF(nomemp9="","",IF(llocsdetreball8_2022="","",llocsdetreball8_2022))</f>
        <v/>
      </c>
      <c r="GN10" s="177" t="str">
        <f>IF(nomemp9="","",IF(llocsdetreball8_2023="","",llocsdetreball8_2023))</f>
        <v/>
      </c>
      <c r="GO10" s="177" t="str">
        <f>IF(nomemp9="","",IF(formacio8_2017="","",formacio8_2017))</f>
        <v/>
      </c>
      <c r="GP10" s="177" t="str">
        <f>IF(nomemp9="","",IF(formacio8_2017="","",formacio8_2017))</f>
        <v/>
      </c>
      <c r="GQ10" s="177" t="str">
        <f>IF(nomemp9="","",IF(formacio8_2018="","",formacio8_2018))</f>
        <v/>
      </c>
      <c r="GR10" s="177" t="str">
        <f>IF(nomemp9="","",IF(formacio8_2019="","",formacio8_2019))</f>
        <v/>
      </c>
      <c r="GS10" s="177" t="str">
        <f>IF(nomemp9="","",IF(formacio8_2020="","",formacio8_2020))</f>
        <v/>
      </c>
      <c r="GT10" s="177" t="str">
        <f>IF(nomemp9="","",IF(formacio8_2021="","",formacio8_2021))</f>
        <v/>
      </c>
      <c r="GU10" s="177" t="str">
        <f>IF(nomemp9="","",IF(formacio8_2022="","",formacio8_2022))</f>
        <v/>
      </c>
      <c r="GV10" s="177" t="str">
        <f>IF(nomemp9="","",IF(formacio8_2023="","",formacio8_2023))</f>
        <v/>
      </c>
      <c r="GW10" s="177" t="str">
        <f>IF(nomemp9="","",IF(ingressos8_2017="","",ingressos8_2017))</f>
        <v/>
      </c>
      <c r="GX10" s="177" t="str">
        <f>IF(nomemp9="","",IF(ingressos8_2017="","",ingressos8_2017))</f>
        <v/>
      </c>
      <c r="GY10" s="177" t="str">
        <f>IF(nomemp9="","",IF(ingressos8_2018="","",ingressos8_2018))</f>
        <v/>
      </c>
      <c r="GZ10" s="177" t="str">
        <f>IF(nomemp9="","",IF(ingressos8_2019="","",ingressos8_2019))</f>
        <v/>
      </c>
      <c r="HA10" s="177" t="str">
        <f>IF(nomemp9="","",IF(ingressos8_2020="","",ingressos8_2020))</f>
        <v/>
      </c>
      <c r="HB10" s="177" t="str">
        <f>IF(nomemp9="","",IF(ingressos8_2021="","",ingressos8_2021))</f>
        <v/>
      </c>
      <c r="HC10" s="177" t="str">
        <f>IF(nomemp9="","",IF(ingressos8_2022="","",ingressos8_2022))</f>
        <v/>
      </c>
      <c r="HD10" s="177" t="str">
        <f>IF(nomemp9="","",IF(ingressos8_2023="","",ingressos8_2023))</f>
        <v/>
      </c>
      <c r="HE10" s="177" t="str">
        <f>IF(nomemp9="","",IF(exportacions8_2017="","",exportacions8_2017))</f>
        <v/>
      </c>
      <c r="HF10" s="177" t="str">
        <f>IF(nomemp9="","",IF(exportacions8_2017="","",exportacions8_2017))</f>
        <v/>
      </c>
      <c r="HG10" s="177" t="str">
        <f>IF(nomemp9="","",IF(exportacions8_2018="","",exportacions8_2018))</f>
        <v/>
      </c>
      <c r="HH10" s="177" t="str">
        <f>IF(nomemp9="","",IF(exportacions8_2019="","",exportacions8_2019))</f>
        <v/>
      </c>
      <c r="HI10" s="177" t="str">
        <f>IF(nomemp9="","",IF(exportacions8_2020="","",exportacions8_2020))</f>
        <v/>
      </c>
      <c r="HJ10" s="177" t="str">
        <f>IF(nomemp9="","",IF(exportacions8_2021="","",exportacions8_2021))</f>
        <v/>
      </c>
      <c r="HK10" s="177" t="str">
        <f>IF(nomemp9="","",IF(exportacions8_2022="","",exportacions8_2022))</f>
        <v/>
      </c>
      <c r="HL10" s="177" t="str">
        <f>IF(nomemp9="","",IF(exportacions8_2023="","",exportacions8_2023))</f>
        <v/>
      </c>
      <c r="HM10" s="177" t="str">
        <f>IF(nomemp9="","",IF(oportunitats8_2017="","",oportunitats8_2017))</f>
        <v/>
      </c>
      <c r="HN10" s="177" t="str">
        <f>IF(nomemp9="","",IF(oportunitats8_2017="","",oportunitats8_2017))</f>
        <v/>
      </c>
      <c r="HO10" s="177" t="str">
        <f>IF(nomemp9="","",IF(oportunitats8_2018="","",oportunitats8_2018))</f>
        <v/>
      </c>
      <c r="HP10" s="177" t="str">
        <f>IF(nomemp9="","",IF(oportunitats8_2019="","",oportunitats8_2019))</f>
        <v/>
      </c>
      <c r="HQ10" s="177" t="str">
        <f>IF(nomemp9="","",IF(oportunitats8_2020="","",oportunitats8_2020))</f>
        <v/>
      </c>
      <c r="HR10" s="177" t="str">
        <f>IF(nomemp9="","",IF(oportunitats8_2021="","",oportunitats8_2021))</f>
        <v/>
      </c>
      <c r="HS10" s="177" t="str">
        <f>IF(nomemp9="","",IF(oportunitats8_2022="","",oportunitats8_2022))</f>
        <v/>
      </c>
      <c r="HT10" s="177" t="str">
        <f>IF(nomemp9="","",IF(oportunitats8_2023="","",oportunitats8_2023))</f>
        <v/>
      </c>
      <c r="HU10" s="177" t="str">
        <f>IF(nomemp9="","",IF(productivitat8_2017="","",productivitat8_2017))</f>
        <v/>
      </c>
      <c r="HV10" s="177" t="str">
        <f>IF(nomemp9="","",IF(productivitat8_2017="","",productivitat8_2017))</f>
        <v/>
      </c>
      <c r="HW10" s="177" t="str">
        <f>IF(nomemp9="","",IF(productivitat8_2018="","",productivitat8_2018))</f>
        <v/>
      </c>
      <c r="HX10" s="177" t="str">
        <f>IF(nomemp9="","",IF(productivitat8_2019="","",productivitat8_2019))</f>
        <v/>
      </c>
      <c r="HY10" s="177" t="str">
        <f>IF(nomemp9="","",IF(productivitat8_2020="","",productivitat8_2020))</f>
        <v/>
      </c>
      <c r="HZ10" s="177" t="str">
        <f>IF(nomemp9="","",IF(productivitat8_2021="","",productivitat8_2021))</f>
        <v/>
      </c>
      <c r="IA10" s="177" t="str">
        <f>IF(nomemp9="","",IF(productivitat8_2022="","",productivitat8_2022))</f>
        <v/>
      </c>
      <c r="IB10" s="177" t="str">
        <f>IF(nomemp9="","",IF(productivitat8_2023="","",productivitat8_2023))</f>
        <v/>
      </c>
      <c r="IC10" s="177" t="str">
        <f>IF(nomemp9="","",IF(aigua8_2017="","",aigua8_2017))</f>
        <v/>
      </c>
      <c r="ID10" s="177" t="str">
        <f>IF(nomemp9="","",IF(aigua8_2017="","",aigua8_2017))</f>
        <v/>
      </c>
      <c r="IE10" s="177" t="str">
        <f>IF(nomemp9="","",IF(aigua8_2018="","",aigua8_2018))</f>
        <v/>
      </c>
      <c r="IF10" s="177" t="str">
        <f>IF(nomemp9="","",IF(aigua8_2019="","",aigua8_2019))</f>
        <v/>
      </c>
      <c r="IG10" s="177" t="str">
        <f>IF(nomemp9="","",IF(aigua8_2020="","",aigua8_2020))</f>
        <v/>
      </c>
      <c r="IH10" s="177" t="str">
        <f>IF(nomemp9="","",IF(aigua8_2021="","",aigua8_2021))</f>
        <v/>
      </c>
      <c r="II10" s="177" t="str">
        <f>IF(nomemp9="","",IF(aigua8_2022="","",aigua8_2022))</f>
        <v/>
      </c>
      <c r="IJ10" s="177" t="str">
        <f>IF(nomemp9="","",IF(aigua8_2023="","",aigua8_2023))</f>
        <v/>
      </c>
      <c r="IK10" s="177" t="str">
        <f>IF(nomemp9="","",IF(energia8_2017="","",energia8_2017))</f>
        <v/>
      </c>
      <c r="IL10" s="177" t="str">
        <f>IF(nomemp9="","",IF(energia8_2017="","",energia8_2017))</f>
        <v/>
      </c>
      <c r="IM10" s="177" t="str">
        <f>IF(nomemp9="","",IF(energia8_2018="","",energia8_2018))</f>
        <v/>
      </c>
      <c r="IN10" s="177" t="str">
        <f>IF(nomemp9="","",IF(energia8_2019="","",energia8_2019))</f>
        <v/>
      </c>
      <c r="IO10" s="177" t="str">
        <f>IF(nomemp9="","",IF(energia8_2020="","",energia8_2020))</f>
        <v/>
      </c>
      <c r="IP10" s="177" t="str">
        <f>IF(nomemp9="","",IF(energia8_2021="","",energia8_2021))</f>
        <v/>
      </c>
      <c r="IQ10" s="177" t="str">
        <f>IF(nomemp9="","",IF(energia8_2022="","",energia8_2022))</f>
        <v/>
      </c>
      <c r="IR10" s="177" t="str">
        <f>IF(nomemp9="","",IF(energia8_2023="","",energia8_2023))</f>
        <v/>
      </c>
      <c r="IS10" s="177" t="str">
        <f>IF(nomemp9="","",IF(emissions8_2017="","",emissions8_2017))</f>
        <v/>
      </c>
      <c r="IT10" s="177" t="str">
        <f>IF(nomemp9="","",IF(emissions8_2017="","",emissions8_2017))</f>
        <v/>
      </c>
      <c r="IU10" s="177" t="str">
        <f>IF(nomemp9="","",IF(emissions8_2018="","",emissions8_2018))</f>
        <v/>
      </c>
      <c r="IV10" s="177" t="str">
        <f>IF(nomemp9="","",IF(emissions8_2019="","",emissions8_2019))</f>
        <v/>
      </c>
      <c r="IW10" s="177" t="str">
        <f>IF(nomemp9="","",IF(emissions8_2020="","",emissions8_2020))</f>
        <v/>
      </c>
      <c r="IX10" s="177" t="str">
        <f>IF(nomemp9="","",IF(emissions8_2021="","",emissions8_2021))</f>
        <v/>
      </c>
      <c r="IY10" s="177" t="str">
        <f>IF(nomemp9="","",IF(emissions8_2022="","",emissions8_2022))</f>
        <v/>
      </c>
      <c r="IZ10" s="177" t="str">
        <f>IF(nomemp9="","",IF(emissions8_2023="","",emissions8_2023))</f>
        <v/>
      </c>
      <c r="JA10" s="177" t="str">
        <f>IF(nomemp9="","",IF(residus8_2017="","",residus8_2017))</f>
        <v/>
      </c>
      <c r="JB10" s="177" t="str">
        <f>IF(nomemp9="","",IF(residus8_2017="","",residus8_2017))</f>
        <v/>
      </c>
      <c r="JC10" s="177" t="str">
        <f>IF(nomemp9="","",IF(residus8_2018="","",residus8_2018))</f>
        <v/>
      </c>
      <c r="JD10" s="177" t="str">
        <f>IF(nomemp9="","",IF(residus8_2019="","",residus8_2019))</f>
        <v/>
      </c>
      <c r="JE10" s="177" t="str">
        <f>IF(nomemp9="","",IF(residus8_2020="","",residus8_2020))</f>
        <v/>
      </c>
      <c r="JF10" s="177" t="str">
        <f>IF(nomemp9="","",IF(residus8_2021="","",residus8_2021))</f>
        <v/>
      </c>
      <c r="JG10" s="177" t="str">
        <f>IF(nomemp9="","",IF(residus8_2022="","",residus8_2022))</f>
        <v/>
      </c>
      <c r="JH10" s="177" t="str">
        <f>IF(nomemp9="","",IF(residus8_2023="","",residus8_2023))</f>
        <v/>
      </c>
      <c r="JJ10" s="38"/>
      <c r="JK10" s="38"/>
      <c r="JL10" s="38"/>
    </row>
    <row r="11" spans="1:272" s="177" customFormat="1" x14ac:dyDescent="0.25">
      <c r="A11" s="177" t="str">
        <f>IF(nomemp10="","",codiexp1)</f>
        <v/>
      </c>
      <c r="B11" s="177" t="str">
        <f>UPPER(IF(nomemp10=" ", " ",nomemp10))</f>
        <v/>
      </c>
      <c r="C11" s="177" t="str">
        <f>UPPER(IF(nif_10= " ", " ", nif_10))</f>
        <v/>
      </c>
      <c r="D11" s="177" t="str">
        <f>IF(nomemp10="", "",UPPER(IF(codiparticipant9="","",codiparticipant9)))</f>
        <v/>
      </c>
      <c r="E11" s="177" t="str">
        <f>IF(nomemp10="", "",IF(ajudes9_2016="", "",ajudes9_2016))</f>
        <v/>
      </c>
      <c r="F11" s="177" t="str">
        <f>IF(nomemp10="", "",IF(ajudes9_2017="", "",ajudes9_2017))</f>
        <v/>
      </c>
      <c r="G11" s="177" t="str">
        <f>IF(nomemp10="",  "",IF(ajudes9_2018="", "",ajudes9_2018))</f>
        <v/>
      </c>
      <c r="H11" s="177" t="str">
        <f>IF(nomemp10="", "",IF(ajudes9_2019="", "",ajudes9_2019))</f>
        <v/>
      </c>
      <c r="I11" s="177" t="str">
        <f>IF(nomemp10="", "",IF(ajudes9_2020="", "",ajudes9_2020))</f>
        <v/>
      </c>
      <c r="J11" s="177" t="str">
        <f>IF(nomemp10="", "",IF(ajudes9_2021="", "",ajudes9_2021))</f>
        <v/>
      </c>
      <c r="K11" s="177" t="str">
        <f>IF(nomemp10="", "",IF(ajudes9_2022="", "",ajudes9_2022))</f>
        <v/>
      </c>
      <c r="L11" s="177" t="str">
        <f>IF(nomemp10="", "",IF(ajudes9_2023="", "",ajudes9_2023))</f>
        <v/>
      </c>
      <c r="M11" s="177" t="str">
        <f>IF(nomemp10= " ", " ", IF(subvencions9_2016="","",subvencions9_2016))</f>
        <v/>
      </c>
      <c r="N11" s="177" t="str">
        <f>IF(nomemp10= " ", " ", IF(subvencions9_2017="","",subvencions9_2017))</f>
        <v/>
      </c>
      <c r="O11" s="177" t="str">
        <f>IF(nomemp10= " ", " ", IF(subvencions9_2018="","",subvencions9_2018))</f>
        <v/>
      </c>
      <c r="P11" s="177" t="str">
        <f>IF(nomemp10= " ", " ", IF(subvencions9_2019="","",subvencions9_2019))</f>
        <v/>
      </c>
      <c r="Q11" s="177" t="str">
        <f>IF(nomemp10= " ", " ", IF(subvencions9_2020="","",subvencions9_2020))</f>
        <v/>
      </c>
      <c r="R11" s="177" t="str">
        <f>IF(nomemp10= " ", " ", IF(subvencions9_2021="","",subvencions9_2021))</f>
        <v/>
      </c>
      <c r="S11" s="177" t="str">
        <f>IF(nomemp10= " ", " ", IF(subvencions9_2022="","",subvencions9_2022))</f>
        <v/>
      </c>
      <c r="T11" s="177" t="str">
        <f>IF(nomemp10= " ", " ", IF(subvencions9_2023="","",subvencions9_2023))</f>
        <v/>
      </c>
      <c r="U11" s="177" t="str">
        <f>IF(nomemp10= " ", "",IF(iprivadaipublica9_2016="","",iprivadaipublica9_2016))</f>
        <v/>
      </c>
      <c r="V11" s="177" t="str">
        <f>IF(nomemp10= " ", "",IF(iprivadaipublica9_2017="","",iprivadaipublica9_2017))</f>
        <v/>
      </c>
      <c r="W11" s="177" t="str">
        <f>IF(nomemp10= " ", "",IF(iprivadaipublica9_2018="","",iprivadaipublica9_2018))</f>
        <v/>
      </c>
      <c r="X11" s="177" t="str">
        <f>IF(nomemp10= " ", "",IF(iprivadaipublica9_2019="","",iprivadaipublica9_2019))</f>
        <v/>
      </c>
      <c r="Y11" s="177" t="str">
        <f>IF(nomemp10= " ", "",IF(iprivadaipublica9_2020="","",iprivadaipublica9_2020))</f>
        <v/>
      </c>
      <c r="Z11" s="177" t="str">
        <f>IF(nomemp10= " ", "",IF(iprivadaipublica9_2021="","",iprivadaipublica9_2021))</f>
        <v/>
      </c>
      <c r="AA11" s="177" t="str">
        <f>IF(nomemp10= " ", "",IF(iprivadaipublica9_2022="","",iprivadaipublica9_2022))</f>
        <v/>
      </c>
      <c r="AB11" s="177" t="str">
        <f>IF(nomemp10= " ", "",IF(iprivadaipublica9_2023="","",iprivadaipublica9_2023))</f>
        <v/>
      </c>
      <c r="AC11" s="177" t="str">
        <f>IF(nomemp10="","",IF(copera9_2016="","",copera9_2016))</f>
        <v/>
      </c>
      <c r="AD11" s="177" t="str">
        <f>IF(nomemp10="","",IF(copera9_2017="","",copera9_2017))</f>
        <v/>
      </c>
      <c r="AE11" s="177" t="str">
        <f>IF(nomemp10="","",IF(copera9_2018="","",copera9_2018))</f>
        <v/>
      </c>
      <c r="AF11" s="177" t="str">
        <f>IF(nomemp10="","",IF(copera9_2019="","",copera9_2019))</f>
        <v/>
      </c>
      <c r="AG11" s="177" t="str">
        <f>IF(nomemp10="","",IF(copera9_2020="","",copera9_2020))</f>
        <v/>
      </c>
      <c r="AH11" s="177" t="str">
        <f>IF(nomemp10="","",IF(copera9_2021="","",copera9_2021))</f>
        <v/>
      </c>
      <c r="AI11" s="177" t="str">
        <f>IF(nomemp10="","",IF(copera9_2022="","",copera9_2022))</f>
        <v/>
      </c>
      <c r="AJ11" s="177" t="str">
        <f>IF(nomemp10="","",IF(copera9_2023="","",copera9_2023))</f>
        <v/>
      </c>
      <c r="AK11" s="177" t="str">
        <f>IF(nomemp10="","",IF(investigadorshomes9_2016="","",investigadorshomes9_2016))</f>
        <v/>
      </c>
      <c r="AL11" s="177" t="str">
        <f>IF(nomemp10="","",IF(investigadorshomes9_2017="","",investigadorshomes9_2017))</f>
        <v/>
      </c>
      <c r="AM11" s="177" t="str">
        <f>IF(nomemp10="","",IF(investigadorshomes9_2018="","",investigadorshomes9_2018))</f>
        <v/>
      </c>
      <c r="AN11" s="177" t="str">
        <f>IF(nomemp10="","",IF(investigadorshomes9_2019="","",investigadorshomes9_2019))</f>
        <v/>
      </c>
      <c r="AO11" s="177" t="str">
        <f>IF(nomemp10="","",IF(investigadorshomes9_2020="","",investigadorshomes9_2020))</f>
        <v/>
      </c>
      <c r="AP11" s="177" t="str">
        <f>IF(nomemp10="","",IF(investigadorshomes9_2021="","",investigadorshomes9_2021))</f>
        <v/>
      </c>
      <c r="AQ11" s="177" t="str">
        <f>IF(nomemp10="","",IF(investigadorshomes9_2022="","",investigadorshomes9_2022))</f>
        <v/>
      </c>
      <c r="AR11" s="177" t="str">
        <f>IF(nomemp10="","",IF(investigadorshomes9_2023="","",investigadorshomes9_2023))</f>
        <v/>
      </c>
      <c r="AS11" s="177" t="str">
        <f>IF(nomemp10="","",IF(investigadorsdones9_2016= "","",investigadorsdones9_2016))</f>
        <v/>
      </c>
      <c r="AT11" s="177" t="str">
        <f>IF(nomemp10="","",IF(investigadorsdones9_2017= "","",investigadorsdones9_2017))</f>
        <v/>
      </c>
      <c r="AU11" s="177" t="str">
        <f>IF(nomemp10="","",IF(investigadorsdones9_2018= "","",investigadorsdones9_2018))</f>
        <v/>
      </c>
      <c r="AV11" s="177" t="str">
        <f>IF(nomemp10="","",IF(investigadorsdones9_2019= "","",investigadorsdones9_2019))</f>
        <v/>
      </c>
      <c r="AW11" s="177" t="str">
        <f>IF(nomemp10="","",IF(investigadorsdones9_2020= "","",investigadorsdones9_2020))</f>
        <v/>
      </c>
      <c r="AX11" s="177" t="str">
        <f>IF(nomemp10="","",IF(investigadorsdones9_2021= "","",investigadorsdones9_2021))</f>
        <v/>
      </c>
      <c r="AY11" s="177" t="str">
        <f>IF(nomemp10="","",IF(investigadorsdones9_2022= "","",investigadorsdones9_2022))</f>
        <v/>
      </c>
      <c r="AZ11" s="177" t="str">
        <f>IF(nomemp10="","",IF(investigadorsdones9_2023= "","",investigadorsdones9_2023))</f>
        <v/>
      </c>
      <c r="BA11" s="177" t="str">
        <f>IF(nomemp10=" ", " ",IF(investigadorstotal9_2016="","",investigadorstotal9_2016))</f>
        <v/>
      </c>
      <c r="BB11" s="177" t="str">
        <f>IF(nomemp10=" ", " ",IF(investigadorstotal9_2017="","",investigadorstotal9_2017))</f>
        <v/>
      </c>
      <c r="BC11" s="177" t="str">
        <f>IF(nomemp10=" ", " ",IF(investigadorstotal9_2018="","",investigadorstotal9_2018))</f>
        <v/>
      </c>
      <c r="BD11" s="177" t="str">
        <f>IF(nomemp10=" ", " ",IF(investigadorstotal9_2019="","",investigadorstotal9_2019))</f>
        <v/>
      </c>
      <c r="BE11" s="177" t="str">
        <f>IF(nomemp10=" ", " ",IF(investigadorstotal9_2020="","",investigadorstotal9_2020))</f>
        <v/>
      </c>
      <c r="BF11" s="177" t="str">
        <f>IF(nomemp10=" ", " ",IF(investigadorstotal9_2021="","",investigadorstotal9_2021))</f>
        <v/>
      </c>
      <c r="BG11" s="177" t="str">
        <f>IF(nomemp10=" ", " ",IF(investigadorstotal9_2022="","",investigadorstotal9_2022))</f>
        <v/>
      </c>
      <c r="BH11" s="177" t="str">
        <f>IF(nomemp10=" ", " ",IF(investigadorstotal9_2023="","",investigadorstotal9_2023))</f>
        <v/>
      </c>
      <c r="BI11" s="177" t="str">
        <f>IF(nomemp10=" ", " ",IF(certificacio9_2016="","",certificacio9_2016))</f>
        <v/>
      </c>
      <c r="BJ11" s="177" t="str">
        <f>IF(nomemp10=" ", " ",IF(certificacio9_2017="","",certificacio9_2017))</f>
        <v/>
      </c>
      <c r="BK11" s="177" t="str">
        <f>IF(nomemp10=" ", " ",IF(certificacio9_2018="","",certificacio9_2018))</f>
        <v/>
      </c>
      <c r="BL11" s="177" t="str">
        <f>IF(nomemp10=" "," ",IF(certificacio9_2019="","",certificacio9_2019))</f>
        <v/>
      </c>
      <c r="BM11" s="177" t="str">
        <f>IF(nomemp10=" ", " ",IF(certificacio9_2020="","",certificacio9_2020))</f>
        <v/>
      </c>
      <c r="BN11" s="177" t="str">
        <f>IF(nomemp10=" ", " ",IF(certificacio9_2021="","",certificacio9_2021))</f>
        <v/>
      </c>
      <c r="BO11" s="177" t="str">
        <f>IF(nomemp10=" ", " ",IF(certificacio9_2022="","",certificacio9_2022))</f>
        <v/>
      </c>
      <c r="BP11" s="177" t="str">
        <f>IF(nomemp10=" ", " ",IF(certificacio9_2023="","",certificacio9_2023))</f>
        <v/>
      </c>
      <c r="BQ11" s="177" t="str">
        <f>IF(nomemp10="","",IF(ipublica9_2016="","",ipublica9_2016))</f>
        <v/>
      </c>
      <c r="BR11" s="177" t="str">
        <f>IF(nomemp10="","",IF(ipublica9_2017="","",ipublica9_2017))</f>
        <v/>
      </c>
      <c r="BS11" s="177" t="str">
        <f>IF(nomemp10="","",IF(ipublica9_2018="","",ipublica9_2018))</f>
        <v/>
      </c>
      <c r="BT11" s="177" t="str">
        <f>IF(nomemp10="","",IF(ipublica9_2019="","",ipublica9_2019))</f>
        <v/>
      </c>
      <c r="BU11" s="177" t="str">
        <f>IF(nomemp10="","",IF(ipublica9_2020="","",ipublica9_2020))</f>
        <v/>
      </c>
      <c r="BV11" s="177" t="str">
        <f>IF(nomemp10="","",IF(ipublica9_2021="","",ipublica9_2021))</f>
        <v/>
      </c>
      <c r="BW11" s="177" t="str">
        <f>IF(nomemp10="","",IF(ipublica9_2022="","",ipublica9_2022))</f>
        <v/>
      </c>
      <c r="BX11" s="177" t="str">
        <f>IF(nomemp10="","",IF(ipublica9_2023="","",ipublica9_2023))</f>
        <v/>
      </c>
      <c r="BY11" s="177" t="str">
        <f>IF(nomemp10="","",IF(iprivada9_2016="","",iprivada9_2016))</f>
        <v/>
      </c>
      <c r="BZ11" s="177" t="str">
        <f>IF(nomemp10="","",IF(iprivada9_2017="","",iprivada9_2017))</f>
        <v/>
      </c>
      <c r="CA11" s="177" t="str">
        <f>IF(nomemp10="","",IF(iprivada9_2018="","",iprivada9_2018))</f>
        <v/>
      </c>
      <c r="CB11" s="177" t="str">
        <f>IF(nomemp10="","",IF(iprivada9_2019="","",iprivada9_2019))</f>
        <v/>
      </c>
      <c r="CC11" s="177" t="str">
        <f>IF(nomemp10="","",IF(iprivada9_2020="","",iprivada9_2020))</f>
        <v/>
      </c>
      <c r="CD11" s="177" t="str">
        <f>IF(nomemp10="","",IF(iprivada9_2021="","",iprivada9_2021))</f>
        <v/>
      </c>
      <c r="CE11" s="177" t="str">
        <f>IF(nomemp10="","",IF(iprivada9_2022="","",iprivada9_2022))</f>
        <v/>
      </c>
      <c r="CF11" s="177" t="str">
        <f>IF(nomemp10="","",IF(iprivada9_2023="","",iprivada9_2023))</f>
        <v/>
      </c>
      <c r="CG11" s="177" t="str">
        <f>IF(nomemp10="","",IF(investigadorstotalprojecte9_2016="","",investigadorstotalprojecte9_2016))</f>
        <v/>
      </c>
      <c r="CH11" s="177" t="str">
        <f>IF(nomemp10="","",IF(investigadorstotalprojecte9_2017="","",investigadorstotalprojecte9_2017))</f>
        <v/>
      </c>
      <c r="CI11" s="177" t="str">
        <f>IF(nomemp10="","",IF(investigadorstotalprojecte9_2018="","",investigadorstotalprojecte9_2018))</f>
        <v/>
      </c>
      <c r="CJ11" s="177" t="str">
        <f>IF(nomemp10="","",IF(investigadorstotalprojecte9_2019="","",investigadorstotalprojecte9_2019))</f>
        <v/>
      </c>
      <c r="CK11" s="177" t="str">
        <f>IF(nomemp10="","",IF(investigadorstotalprojecte9_2020="","",investigadorstotalprojecte9_2020))</f>
        <v/>
      </c>
      <c r="CL11" s="177" t="str">
        <f>IF(nomemp10="","",IF(investigadorstotalprojecte9_2021="","",investigadorstotalprojecte9_2021))</f>
        <v/>
      </c>
      <c r="CM11" s="177" t="str">
        <f>IF(nomemp10="","",IF(investigadorstotalprojecte9_2022="","",investigadorstotalprojecte9_2022))</f>
        <v/>
      </c>
      <c r="CN11" s="177" t="str">
        <f>IF(nomemp10="","",IF(investigadorstotalprojecte9_2023="","",investigadorstotalprojecte9_2023))</f>
        <v/>
      </c>
      <c r="CO11" s="177" t="str">
        <f>IF(nomemp10="","",IF(investigadorshomesprojecte9_2016="","",investigadorshomesprojecte9_2016))</f>
        <v/>
      </c>
      <c r="CP11" s="177" t="str">
        <f>IF(nomemp10="","",IF(investigadorshomesprojecte9_2017="","",investigadorshomesprojecte9_2017))</f>
        <v/>
      </c>
      <c r="CQ11" s="177" t="str">
        <f>IF(nomemp10="","",IF(investigadorshomesprojecte9_2018="","",investigadorshomesprojecte9_2018))</f>
        <v/>
      </c>
      <c r="CR11" s="177" t="str">
        <f>IF(nomemp10="","",IF(investigadorshomesprojecte9_2019="","",investigadorshomesprojecte9_2019))</f>
        <v/>
      </c>
      <c r="CS11" s="177" t="str">
        <f>IF(nomemp10="","",IF(investigadorshomesprojecte9_2020="","",investigadorshomesprojecte9_2020))</f>
        <v/>
      </c>
      <c r="CT11" s="177" t="str">
        <f>IF(nomemp10="","",IF(investigadorshomesprojecte9_2021="","",investigadorshomesprojecte9_2021))</f>
        <v/>
      </c>
      <c r="CU11" s="177" t="str">
        <f>IF(nomemp10="","",IF(investigadorshomesprojecte9_2022="","",investigadorshomesprojecte9_2022))</f>
        <v/>
      </c>
      <c r="CV11" s="177" t="str">
        <f>IF(nomemp10="","",IF(investigadorshomesprojecte9_2023="","",investigadorshomesprojecte9_2023))</f>
        <v/>
      </c>
      <c r="CW11" s="177" t="str">
        <f>IF(nomemp10="","",IF(investigadorsdonesprojecte9_2016="","",investigadorsdonesprojecte9_2016))</f>
        <v/>
      </c>
      <c r="CX11" s="177" t="str">
        <f>IF(nomemp10="","",IF(investigadorsdonesprojecte9_2017="","",investigadorsdonesprojecte9_2017))</f>
        <v/>
      </c>
      <c r="CY11" s="177" t="str">
        <f>IF(nomemp10="","",IF(investigadorsdonesprojecte9_2018="","",investigadorsdonesprojecte9_2018))</f>
        <v/>
      </c>
      <c r="CZ11" s="177" t="str">
        <f>IF(nomemp10="","",IF(investigadorsdonesprojecte9_2019="","",investigadorsdonesprojecte9_2019))</f>
        <v/>
      </c>
      <c r="DA11" s="177" t="str">
        <f>IF(nomemp10="","",IF(investigadorsdonesprojecte9_2020="","",investigadorsdonesprojecte9_2020))</f>
        <v/>
      </c>
      <c r="DB11" s="177" t="str">
        <f>IF(nomemp10="","",IF(investigadorsdonesprojecte9_2021="","",investigadorsdonesprojecte9_2021))</f>
        <v/>
      </c>
      <c r="DC11" s="177" t="str">
        <f>IF(nomemp10="","",IF(investigadorsdonesprojecte9_2022="","",investigadorsdonesprojecte9_2022))</f>
        <v/>
      </c>
      <c r="DD11" s="177" t="str">
        <f>IF(nomemp10="","",IF(investigadorsdonesprojecte9_2023="","",investigadorsdonesprojecte9_2023))</f>
        <v/>
      </c>
      <c r="DE11" s="177" t="str">
        <f>IF(nomemp10="","",IF(empresesprivades9_2017="","",empresesprivades9_2017))</f>
        <v/>
      </c>
      <c r="DF11" s="177" t="str">
        <f>IF(nomemp10="","",IF(empresesprivades9_2017="","",empresesprivades9_2017))</f>
        <v/>
      </c>
      <c r="DG11" s="177" t="str">
        <f>IF(nomemp10="","",IF(empresesprivades9_2018="","",empresesprivades9_2018))</f>
        <v/>
      </c>
      <c r="DH11" s="177" t="str">
        <f>IF(nomemp10="","",IF(empresesprivades9_2019="","",empresesprivades9_2019))</f>
        <v/>
      </c>
      <c r="DI11" s="177" t="str">
        <f>IF(nomemp10="","",IF(empresesprivades9_2020="","",empresesprivades9_2020))</f>
        <v/>
      </c>
      <c r="DJ11" s="177" t="str">
        <f>IF(nomemp10="","",IF(empresesprivades9_2021="","",empresesprivades9_2021))</f>
        <v/>
      </c>
      <c r="DK11" s="177" t="str">
        <f>IF(nomemp10="","",IF(empresesprivades9_2022="","",empresesprivades9_2022))</f>
        <v/>
      </c>
      <c r="DL11" s="177" t="str">
        <f>IF(nomemp10="","",IF(empresesprivades9_2023="","",empresesprivades9_2023))</f>
        <v/>
      </c>
      <c r="DM11" s="177" t="str">
        <f>IF(nomemp10="","",IF(empresespubliques9_2017="","",empresespubliques9_2017))</f>
        <v/>
      </c>
      <c r="DN11" s="177" t="str">
        <f>IF(nomemp10="","",IF(empresespubliques9_2017="","",empresespubliques9_2017))</f>
        <v/>
      </c>
      <c r="DO11" s="177" t="str">
        <f>IF(nomemp10="","",IF(empresespubliques9_2018="","",empresespubliques9_2018))</f>
        <v/>
      </c>
      <c r="DP11" s="177" t="str">
        <f>IF(nomemp10="","",IF(empresespubliques9_2019="","",empresespubliques9_2019))</f>
        <v/>
      </c>
      <c r="DQ11" s="177" t="str">
        <f>IF(nomemp10="","",IF(empresespubliques9_2020="","",empresespubliques9_2020))</f>
        <v/>
      </c>
      <c r="DR11" s="177" t="str">
        <f>IF(nomemp10="","",IF(empresespubliques9_2021="","",empresespubliques9_2021))</f>
        <v/>
      </c>
      <c r="DS11" s="177" t="str">
        <f>IF(nomemp10="","",IF(empresespubliques9_2022="","",empresespubliques9_2022))</f>
        <v/>
      </c>
      <c r="DT11" s="177" t="str">
        <f>IF(nomemp10="","",IF(empresespubliques9_2023="","",empresespubliques9_2023))</f>
        <v/>
      </c>
      <c r="DU11" s="177" t="str">
        <f>IF(nomemp10="","",IF(centrestecnologics9_2017="","",centrestecnologics9_2017))</f>
        <v/>
      </c>
      <c r="DV11" s="177" t="str">
        <f>IF(nomemp10="","",IF(centrestecnologics9_2017="","",centrestecnologics9_2017))</f>
        <v/>
      </c>
      <c r="DW11" s="177" t="str">
        <f>IF(nomemp10="","",IF(centrestecnologics9_2018="","",centrestecnologics9_2018))</f>
        <v/>
      </c>
      <c r="DX11" s="177" t="str">
        <f>IF(nomemp10="","",IF(centrestecnologics9_2019="","",centrestecnologics9_2019))</f>
        <v/>
      </c>
      <c r="DY11" s="177" t="str">
        <f>IF(nomemp10="","",IF(centrestecnologics9_2020="","",centrestecnologics9_2020))</f>
        <v/>
      </c>
      <c r="DZ11" s="177" t="str">
        <f>IF(nomemp10="","",IF(centrestecnologics9_2021="","",centrestecnologics9_2021))</f>
        <v/>
      </c>
      <c r="EA11" s="177" t="str">
        <f>IF(nomemp10="","",IF(centrestecnologics9_2022="","",centrestecnologics9_2022))</f>
        <v/>
      </c>
      <c r="EB11" s="177" t="str">
        <f>IF(nomemp10="","",IF(centrestecnologics9_2023="","",centrestecnologics9_2023))</f>
        <v/>
      </c>
      <c r="EC11" s="177" t="str">
        <f>IF(nomemp10="","",IF(universitats9_2017="","",universitats9_2017))</f>
        <v/>
      </c>
      <c r="ED11" s="177" t="str">
        <f>IF(nomemp10="","",IF(universitats9_2017="","",universitats9_2017))</f>
        <v/>
      </c>
      <c r="EE11" s="177" t="str">
        <f>IF(nomemp10="","",IF(universitats9_2018="","",universitats9_2018))</f>
        <v/>
      </c>
      <c r="EF11" s="177" t="str">
        <f>IF(nomemp10="","",IF(universitats9_2019="","",universitats9_2019))</f>
        <v/>
      </c>
      <c r="EG11" s="177" t="str">
        <f>IF(nomemp10="","",IF(universitats9_2020="","",universitats9_2020))</f>
        <v/>
      </c>
      <c r="EH11" s="177" t="str">
        <f>IF(nomemp10="","",IF(universitats9_2021="","",universitats9_2021))</f>
        <v/>
      </c>
      <c r="EI11" s="177" t="str">
        <f>IF(nomemp10="","",IF(universitats9_2022="","",universitats9_2022))</f>
        <v/>
      </c>
      <c r="EJ11" s="177" t="str">
        <f>IF(nomemp10="","",IF(universitats9_2023="","",universitats9_2023))</f>
        <v/>
      </c>
      <c r="EK11" s="177" t="str">
        <f>IF(nomemp10="","",IF(centresrecerca9_2017="","",centresrecerca9_2017))</f>
        <v/>
      </c>
      <c r="EL11" s="177" t="str">
        <f>IF(nomemp10="","",IF(centresrecerca9_2017="","",centresrecerca9_2017))</f>
        <v/>
      </c>
      <c r="EM11" s="177" t="str">
        <f>IF(nomemp10="","",IF(centresrecerca9_2018="","",centresrecerca9_2018))</f>
        <v/>
      </c>
      <c r="EN11" s="177" t="str">
        <f>IF(nomemp10="","",IF(centresrecerca9_2019="","",centresrecerca9_2019))</f>
        <v/>
      </c>
      <c r="EO11" s="177" t="str">
        <f>IF(nomemp10="","",IF(centresrecerca9_2020="","",centresrecerca9_2020))</f>
        <v/>
      </c>
      <c r="EP11" s="177" t="str">
        <f>IF(nomemp10="","",IF(centresrecerca9_2021="","",centresrecerca9_2021))</f>
        <v/>
      </c>
      <c r="EQ11" s="177" t="str">
        <f>IF(nomemp10="","",IF(centresrecerca9_2022="","",centresrecerca9_2022))</f>
        <v/>
      </c>
      <c r="ER11" s="177" t="str">
        <f>IF(nomemp10="","",IF(centresrecerca9_2023="","",centresrecerca9_2023))</f>
        <v/>
      </c>
      <c r="ES11" s="177" t="str">
        <f>IF(nomemp10="","",IF(infraestructures9_2017="","",infraestructures9_2017))</f>
        <v/>
      </c>
      <c r="ET11" s="177" t="str">
        <f>IF(nomemp10="","",IF(infraestructures9_2017="","",infraestructures9_2017))</f>
        <v/>
      </c>
      <c r="EU11" s="177" t="str">
        <f>IF(nomemp10="","",IF(infraestructures9_2018="","",infraestructures9_2018))</f>
        <v/>
      </c>
      <c r="EV11" s="177" t="str">
        <f>IF(nomemp10="","",IF(infraestructures9_2019="","",infraestructures9_2019))</f>
        <v/>
      </c>
      <c r="EW11" s="177" t="str">
        <f>IF(nomemp10="","",IF(infraestructures9_2020="","",infraestructures9_2020))</f>
        <v/>
      </c>
      <c r="EX11" s="177" t="str">
        <f>IF(nomemp10="","",IF(infraestructures9_2021="","",infraestructures9_2021))</f>
        <v/>
      </c>
      <c r="EY11" s="177" t="str">
        <f>IF(nomemp10="","",IF(infraestructures9_2022="","",infraestructures9_2022))</f>
        <v/>
      </c>
      <c r="EZ11" s="177" t="str">
        <f>IF(nomemp10="","",IF(infraestructures9_2023="","",infraestructures9_2023))</f>
        <v/>
      </c>
      <c r="FA11" s="177" t="str">
        <f>IF(nomemp10="","",IF(spinoff9_2017="","",spinoff9_2017))</f>
        <v/>
      </c>
      <c r="FB11" s="177" t="str">
        <f>IF(nomemp10="","",IF(spinoff9_2017="","",spinoff9_2017))</f>
        <v/>
      </c>
      <c r="FC11" s="177" t="str">
        <f>IF(nomemp10="","",IF(spinoff9_2018="","",spinoff9_2018))</f>
        <v/>
      </c>
      <c r="FD11" s="177" t="str">
        <f>IF(nomemp10="","",IF(spinoff9_2019="","",spinoff9_2019))</f>
        <v/>
      </c>
      <c r="FE11" s="177" t="str">
        <f>IF(nomemp10="","",IF(spinoff9_2020="","",spinoff9_2020))</f>
        <v/>
      </c>
      <c r="FF11" s="177" t="str">
        <f>IF(nomemp10="","",IF(spinoff9_2021="","",spinoff9_2021))</f>
        <v/>
      </c>
      <c r="FG11" s="177" t="str">
        <f>IF(nomemp10="","",IF(spinoff9_2022="","",spinoff9_2022))</f>
        <v/>
      </c>
      <c r="FH11" s="177" t="str">
        <f>IF(nomemp10="","",IF(spinoff9_2023="","",spinoff9_2023))</f>
        <v/>
      </c>
      <c r="FI11" s="177" t="str">
        <f>IF(nomemp10="","",IF(patents9_2017="","",patents9_2017))</f>
        <v/>
      </c>
      <c r="FJ11" s="177" t="str">
        <f>IF(nomemp10="","",IF(patents9_2017="","",patents9_2017))</f>
        <v/>
      </c>
      <c r="FK11" s="177" t="str">
        <f>IF(nomemp10="","",IF(patents9_2018="","",patents9_2018))</f>
        <v/>
      </c>
      <c r="FL11" s="177" t="str">
        <f>IF(nomemp10="","",IF(patents9_2019="","",patents9_2019))</f>
        <v/>
      </c>
      <c r="FM11" s="177" t="str">
        <f>IF(nomemp10="","",IF(patents9_2020="","",patents9_2020))</f>
        <v/>
      </c>
      <c r="FN11" s="177" t="str">
        <f>IF(nomemp10="","",IF(patents9_2021="","",patents9_2021))</f>
        <v/>
      </c>
      <c r="FO11" s="177" t="str">
        <f>IF(nomemp10="","",IF(patents9_2022="","",patents9_2022))</f>
        <v/>
      </c>
      <c r="FP11" s="177" t="str">
        <f>IF(nomemp10="","",IF(patents9_2023="","",patents9_2023))</f>
        <v/>
      </c>
      <c r="FQ11" s="177" t="str">
        <f>IF(nomemp10="","",IF(marques9_2017="","",marques9_2017))</f>
        <v/>
      </c>
      <c r="FR11" s="177" t="str">
        <f>IF(nomemp10="","",IF(marques9_2017="","",marques9_2017))</f>
        <v/>
      </c>
      <c r="FS11" s="177" t="str">
        <f>IF(nomemp10="","",IF(marques9_2018="","",marques9_2018))</f>
        <v/>
      </c>
      <c r="FT11" s="177" t="str">
        <f>IF(nomemp10="","",IF(marques9_2019="","",marques9_2019))</f>
        <v/>
      </c>
      <c r="FU11" s="177" t="str">
        <f>IF(nomemp10="","",IF(marques9_2020="","",marques9_2020))</f>
        <v/>
      </c>
      <c r="FV11" s="177" t="str">
        <f>IF(nomemp10="","",IF(marques9_2021="","",marques9_2021))</f>
        <v/>
      </c>
      <c r="FW11" s="177" t="str">
        <f>IF(nomemp10="","",IF(marques9_2022="","",marques9_2022))</f>
        <v/>
      </c>
      <c r="FX11" s="177" t="str">
        <f>IF(nomemp10="","",IF(marques9_2023="","",marques9_2023))</f>
        <v/>
      </c>
      <c r="FY11" s="177" t="str">
        <f>IF(nomemp10="","",IF(innoven9_2017="","",innoven9_2017))</f>
        <v/>
      </c>
      <c r="FZ11" s="177" t="str">
        <f>IF(nomemp10="","",IF(innoven9_2017="","",innoven9_2017))</f>
        <v/>
      </c>
      <c r="GA11" s="177" t="str">
        <f>IF(nomemp10="","",IF(innoven9_2018="","",innoven9_2018))</f>
        <v/>
      </c>
      <c r="GB11" s="177" t="str">
        <f>IF(nomemp10="","",IF(innoven9_2019="","",innoven9_2019))</f>
        <v/>
      </c>
      <c r="GC11" s="177" t="str">
        <f>IF(nomemp10="","",IF(innoven9_2020="","",innoven9_2020))</f>
        <v/>
      </c>
      <c r="GD11" s="177" t="str">
        <f>IF(nomemp10="","",IF(innoven9_2021="","",innoven9_2021))</f>
        <v/>
      </c>
      <c r="GE11" s="177" t="str">
        <f>IF(nomemp10="","",IF(innoven9_2022="","",innoven9_2022))</f>
        <v/>
      </c>
      <c r="GF11" s="177" t="str">
        <f>IF(nomemp10="","",IF(innoven9_2023="","",innoven9_2023))</f>
        <v/>
      </c>
      <c r="GG11" s="177" t="str">
        <f>IF(nomemp10="","",IF(llocsdetreball9_2017="","",llocsdetreball9_2017))</f>
        <v/>
      </c>
      <c r="GH11" s="177" t="str">
        <f>IF(nomemp10="","",IF(llocsdetreball9_2017="","",llocsdetreball9_2017))</f>
        <v/>
      </c>
      <c r="GI11" s="177" t="str">
        <f>IF(nomemp10="","",IF(llocsdetreball9_2018="","",llocsdetreball9_2018))</f>
        <v/>
      </c>
      <c r="GJ11" s="177" t="str">
        <f>IF(nomemp10="","",IF(llocsdetreball9_2019="","",llocsdetreball9_2019))</f>
        <v/>
      </c>
      <c r="GK11" s="177" t="str">
        <f>IF(nomemp10="","",IF(llocsdetreball9_2020="","",llocsdetreball9_2020))</f>
        <v/>
      </c>
      <c r="GL11" s="177" t="str">
        <f>IF(nomemp10="","",IF(llocsdetreball9_2021="","",llocsdetreball9_2021))</f>
        <v/>
      </c>
      <c r="GM11" s="177" t="str">
        <f>IF(nomemp10="","",IF(llocsdetreball9_2022="","",llocsdetreball9_2022))</f>
        <v/>
      </c>
      <c r="GN11" s="177" t="str">
        <f>IF(nomemp10="","",IF(llocsdetreball9_2023="","",llocsdetreball9_2023))</f>
        <v/>
      </c>
      <c r="GO11" s="177" t="str">
        <f>IF(nomemp10="","",IF(formacio9_2017="","",formacio9_2017))</f>
        <v/>
      </c>
      <c r="GP11" s="177" t="str">
        <f>IF(nomemp10="","",IF(formacio9_2017="","",formacio9_2017))</f>
        <v/>
      </c>
      <c r="GQ11" s="177" t="str">
        <f>IF(nomemp10="","",IF(formacio9_2018="","",formacio9_2018))</f>
        <v/>
      </c>
      <c r="GR11" s="177" t="str">
        <f>IF(nomemp10="","",IF(formacio9_2019="","",formacio9_2019))</f>
        <v/>
      </c>
      <c r="GS11" s="177" t="str">
        <f>IF(nomemp10="","",IF(formacio9_2020="","",formacio9_2020))</f>
        <v/>
      </c>
      <c r="GT11" s="177" t="str">
        <f>IF(nomemp10="","",IF(formacio9_2021="","",formacio9_2021))</f>
        <v/>
      </c>
      <c r="GU11" s="177" t="str">
        <f>IF(nomemp10="","",IF(formacio9_2022="","",formacio9_2022))</f>
        <v/>
      </c>
      <c r="GV11" s="177" t="str">
        <f>IF(nomemp10="","",IF(formacio9_2023="","",formacio9_2023))</f>
        <v/>
      </c>
      <c r="GW11" s="177" t="str">
        <f>IF(nomemp10="","",IF(ingressos9_2017="","",ingressos9_2017))</f>
        <v/>
      </c>
      <c r="GX11" s="177" t="str">
        <f>IF(nomemp10="","",IF(ingressos9_2017="","",ingressos9_2017))</f>
        <v/>
      </c>
      <c r="GY11" s="177" t="str">
        <f>IF(nomemp10="","",IF(ingressos9_2018="","",ingressos9_2018))</f>
        <v/>
      </c>
      <c r="GZ11" s="177" t="str">
        <f>IF(nomemp10="","",IF(ingressos9_2019="","",ingressos9_2019))</f>
        <v/>
      </c>
      <c r="HA11" s="177" t="str">
        <f>IF(nomemp10="","",IF(ingressos9_2020="","",ingressos9_2020))</f>
        <v/>
      </c>
      <c r="HB11" s="177" t="str">
        <f>IF(nomemp10="","",IF(ingressos9_2021="","",ingressos9_2021))</f>
        <v/>
      </c>
      <c r="HC11" s="177" t="str">
        <f>IF(nomemp10="","",IF(ingressos9_2022="","",ingressos9_2022))</f>
        <v/>
      </c>
      <c r="HD11" s="177" t="str">
        <f>IF(nomemp10="","",IF(ingressos9_2023="","",ingressos9_2023))</f>
        <v/>
      </c>
      <c r="HE11" s="177" t="str">
        <f>IF(nomemp10="","",IF(exportacions9_2017="","",exportacions9_2017))</f>
        <v/>
      </c>
      <c r="HF11" s="177" t="str">
        <f>IF(nomemp10="","",IF(exportacions9_2017="","",exportacions9_2017))</f>
        <v/>
      </c>
      <c r="HG11" s="177" t="str">
        <f>IF(nomemp10="","",IF(exportacions9_2018="","",exportacions9_2018))</f>
        <v/>
      </c>
      <c r="HH11" s="177" t="str">
        <f>IF(nomemp10="","",IF(exportacions9_2019="","",exportacions9_2019))</f>
        <v/>
      </c>
      <c r="HI11" s="177" t="str">
        <f>IF(nomemp10="","",IF(exportacions9_2020="","",exportacions9_2020))</f>
        <v/>
      </c>
      <c r="HJ11" s="177" t="str">
        <f>IF(nomemp10="","",IF(exportacions9_2021="","",exportacions9_2021))</f>
        <v/>
      </c>
      <c r="HK11" s="177" t="str">
        <f>IF(nomemp10="","",IF(exportacions9_2022="","",exportacions9_2022))</f>
        <v/>
      </c>
      <c r="HL11" s="177" t="str">
        <f>IF(nomemp10="","",IF(exportacions9_2023="","",exportacions9_2023))</f>
        <v/>
      </c>
      <c r="HM11" s="177" t="str">
        <f>IF(nomemp10="","",IF(oportunitats9_2017="","",oportunitats9_2017))</f>
        <v/>
      </c>
      <c r="HN11" s="177" t="str">
        <f>IF(nomemp10="","",IF(oportunitats9_2017="","",oportunitats9_2017))</f>
        <v/>
      </c>
      <c r="HO11" s="177" t="str">
        <f>IF(nomemp10="","",IF(oportunitats9_2018="","",oportunitats9_2018))</f>
        <v/>
      </c>
      <c r="HP11" s="177" t="str">
        <f>IF(nomemp10="","",IF(oportunitats9_2019="","",oportunitats9_2019))</f>
        <v/>
      </c>
      <c r="HQ11" s="177" t="str">
        <f>IF(nomemp10="","",IF(oportunitats9_2020="","",oportunitats9_2020))</f>
        <v/>
      </c>
      <c r="HR11" s="177" t="str">
        <f>IF(nomemp10="","",IF(oportunitats9_2021="","",oportunitats9_2021))</f>
        <v/>
      </c>
      <c r="HS11" s="177" t="str">
        <f>IF(nomemp10="","",IF(oportunitats9_2022="","",oportunitats9_2022))</f>
        <v/>
      </c>
      <c r="HT11" s="177" t="str">
        <f>IF(nomemp10="","",IF(oportunitats9_2023="","",oportunitats9_2023))</f>
        <v/>
      </c>
      <c r="HU11" s="177" t="str">
        <f>IF(nomemp10="","",IF(productivitat9_2017="","",productivitat9_2017))</f>
        <v/>
      </c>
      <c r="HV11" s="177" t="str">
        <f>IF(nomemp10="","",IF(productivitat9_2017="","",productivitat9_2017))</f>
        <v/>
      </c>
      <c r="HW11" s="177" t="str">
        <f>IF(nomemp10="","",IF(productivitat9_2018="","",productivitat9_2018))</f>
        <v/>
      </c>
      <c r="HX11" s="177" t="str">
        <f>IF(nomemp10="","",IF(productivitat9_2019="","",productivitat9_2019))</f>
        <v/>
      </c>
      <c r="HY11" s="177" t="str">
        <f>IF(nomemp10="","",IF(productivitat9_2020="","",productivitat9_2020))</f>
        <v/>
      </c>
      <c r="HZ11" s="177" t="str">
        <f>IF(nomemp10="","",IF(productivitat9_2021="","",productivitat9_2021))</f>
        <v/>
      </c>
      <c r="IA11" s="177" t="str">
        <f>IF(nomemp10="","",IF(productivitat9_2022="","",productivitat9_2022))</f>
        <v/>
      </c>
      <c r="IB11" s="177" t="str">
        <f>IF(nomemp10="","",IF(productivitat9_2023="","",productivitat9_2023))</f>
        <v/>
      </c>
      <c r="IC11" s="177" t="str">
        <f>IF(nomemp10="","",IF(aigua9_2017="","",aigua9_2017))</f>
        <v/>
      </c>
      <c r="ID11" s="177" t="str">
        <f>IF(nomemp10="","",IF(aigua9_2017="","",aigua9_2017))</f>
        <v/>
      </c>
      <c r="IE11" s="177" t="str">
        <f>IF(nomemp10="","",IF(aigua9_2018="","",aigua9_2018))</f>
        <v/>
      </c>
      <c r="IF11" s="177" t="str">
        <f>IF(nomemp10="","",IF(aigua9_2019="","",aigua9_2019))</f>
        <v/>
      </c>
      <c r="IG11" s="177" t="str">
        <f>IF(nomemp10="","",IF(aigua9_2020="","",aigua9_2020))</f>
        <v/>
      </c>
      <c r="IH11" s="177" t="str">
        <f>IF(nomemp10="","",IF(aigua9_2021="","",aigua9_2021))</f>
        <v/>
      </c>
      <c r="II11" s="177" t="str">
        <f>IF(nomemp10="","",IF(aigua9_2022="","",aigua9_2022))</f>
        <v/>
      </c>
      <c r="IJ11" s="177" t="str">
        <f>IF(nomemp10="","",IF(aigua9_2023="","",aigua9_2023))</f>
        <v/>
      </c>
      <c r="IK11" s="177" t="str">
        <f>IF(nomemp10="","",IF(energia9_2017="","",energia9_2017))</f>
        <v/>
      </c>
      <c r="IL11" s="177" t="str">
        <f>IF(nomemp10="","",IF(energia9_2017="","",energia9_2017))</f>
        <v/>
      </c>
      <c r="IM11" s="177" t="str">
        <f>IF(nomemp10="","",IF(energia9_2018="","",energia9_2018))</f>
        <v/>
      </c>
      <c r="IN11" s="177" t="str">
        <f>IF(nomemp10="","",IF(energia9_2019="","",energia9_2019))</f>
        <v/>
      </c>
      <c r="IO11" s="177" t="str">
        <f>IF(nomemp10="","",IF(energia9_2020="","",energia9_2020))</f>
        <v/>
      </c>
      <c r="IP11" s="177" t="str">
        <f>IF(nomemp10="","",IF(energia9_2021="","",energia9_2021))</f>
        <v/>
      </c>
      <c r="IQ11" s="177" t="str">
        <f>IF(nomemp10="","",IF(energia9_2022="","",energia9_2022))</f>
        <v/>
      </c>
      <c r="IR11" s="177" t="str">
        <f>IF(nomemp10="","",IF(energia9_2023="","",energia9_2023))</f>
        <v/>
      </c>
      <c r="IS11" s="177" t="str">
        <f>IF(nomemp10="","",IF(emissions9_2017="","",emissions9_2017))</f>
        <v/>
      </c>
      <c r="IT11" s="177" t="str">
        <f>IF(nomemp10="","",IF(emissions9_2017="","",emissions9_2017))</f>
        <v/>
      </c>
      <c r="IU11" s="177" t="str">
        <f>IF(nomemp10="","",IF(emissions9_2018="","",emissions9_2018))</f>
        <v/>
      </c>
      <c r="IV11" s="177" t="str">
        <f>IF(nomemp10="","",IF(emissions9_2019="","",emissions9_2019))</f>
        <v/>
      </c>
      <c r="IW11" s="177" t="str">
        <f>IF(nomemp10="","",IF(emissions9_2020="","",emissions9_2020))</f>
        <v/>
      </c>
      <c r="IX11" s="177" t="str">
        <f>IF(nomemp10="","",IF(emissions9_2021="","",emissions9_2021))</f>
        <v/>
      </c>
      <c r="IY11" s="177" t="str">
        <f>IF(nomemp10="","",IF(emissions9_2022="","",emissions9_2022))</f>
        <v/>
      </c>
      <c r="IZ11" s="177" t="str">
        <f>IF(nomemp10="","",IF(emissions9_2023="","",emissions9_2023))</f>
        <v/>
      </c>
      <c r="JA11" s="177" t="str">
        <f>IF(nomemp10="","",IF(residus9_2017="","",residus9_2017))</f>
        <v/>
      </c>
      <c r="JB11" s="177" t="str">
        <f>IF(nomemp10="","",IF(residus9_2017="","",residus9_2017))</f>
        <v/>
      </c>
      <c r="JC11" s="177" t="str">
        <f>IF(nomemp10="","",IF(residus9_2018="","",residus9_2018))</f>
        <v/>
      </c>
      <c r="JD11" s="177" t="str">
        <f>IF(nomemp10="","",IF(residus9_2019="","",residus9_2019))</f>
        <v/>
      </c>
      <c r="JE11" s="177" t="str">
        <f>IF(nomemp10="","",IF(residus9_2020="","",residus9_2020))</f>
        <v/>
      </c>
      <c r="JF11" s="177" t="str">
        <f>IF(nomemp10="","",IF(residus9_2021="","",residus9_2021))</f>
        <v/>
      </c>
      <c r="JG11" s="177" t="str">
        <f>IF(nomemp10="","",IF(residus9_2022="","",residus9_2022))</f>
        <v/>
      </c>
      <c r="JH11" s="177" t="str">
        <f>IF(nomemp10="","",IF(residus9_2023="","",residus9_2023))</f>
        <v/>
      </c>
      <c r="JJ11" s="38"/>
      <c r="JK11" s="38"/>
      <c r="JL11" s="38"/>
    </row>
    <row r="12" spans="1:272" s="177" customFormat="1" x14ac:dyDescent="0.25">
      <c r="A12" s="177" t="str">
        <f>IF(nomemp11="","",codiexp1)</f>
        <v/>
      </c>
      <c r="B12" s="177" t="str">
        <f>UPPER(IF(nomemp11=" ", " ",nomemp11))</f>
        <v/>
      </c>
      <c r="C12" s="177" t="str">
        <f>UPPER(IF(nif_11= " ", " ", nif_11))</f>
        <v/>
      </c>
      <c r="D12" s="177" t="str">
        <f>IF(nomemp11="", "",UPPER(IF(codiparticipant10="","",codiparticipant10)))</f>
        <v/>
      </c>
      <c r="E12" s="177" t="str">
        <f>IF(nomemp11="", "",IF(ajudes10_2016="", "",ajudes10_2016))</f>
        <v/>
      </c>
      <c r="F12" s="177" t="str">
        <f>IF(nomemp11="", "",IF(ajudes10_2017="", "",ajudes10_2017))</f>
        <v/>
      </c>
      <c r="G12" s="177" t="str">
        <f>IF(nomemp11="",  "",IF(ajudes10_2018="", "",ajudes10_2018))</f>
        <v/>
      </c>
      <c r="H12" s="177" t="str">
        <f>IF(nomemp11="", "",IF(ajudes10_2019="", "",ajudes10_2019))</f>
        <v/>
      </c>
      <c r="I12" s="177" t="str">
        <f>IF(nomemp11="", "",IF(ajudes10_2020="", "",ajudes10_2020))</f>
        <v/>
      </c>
      <c r="J12" s="177" t="str">
        <f>IF(nomemp11="", "",IF(ajudes10_2021="", "",ajudes10_2021))</f>
        <v/>
      </c>
      <c r="K12" s="177" t="str">
        <f>IF(nomemp11="", "",IF(ajudes10_2022="", "",ajudes10_2022))</f>
        <v/>
      </c>
      <c r="L12" s="177" t="str">
        <f>IF(nomemp11="", "",IF(ajudes10_2023="", "",ajudes10_2023))</f>
        <v/>
      </c>
      <c r="M12" s="177" t="str">
        <f>IF(nomemp11= " ", " ", IF(subvencions10_2016="","",subvencions10_2016))</f>
        <v/>
      </c>
      <c r="N12" s="177" t="str">
        <f>IF(nomemp11= " ", " ", IF(subvencions10_2017="","",subvencions10_2017))</f>
        <v/>
      </c>
      <c r="O12" s="177" t="str">
        <f>IF(nomemp11= " ", " ", IF(subvencions10_2018="","",subvencions10_2018))</f>
        <v/>
      </c>
      <c r="P12" s="177" t="str">
        <f>IF(nomemp11= " ", " ", IF(subvencions10_2019="","",subvencions10_2019))</f>
        <v/>
      </c>
      <c r="Q12" s="177" t="str">
        <f>IF(nomemp11= " ", " ", IF(subvencions10_2020="","",subvencions10_2020))</f>
        <v/>
      </c>
      <c r="R12" s="177" t="str">
        <f>IF(nomemp11= " ", " ", IF(subvencions10_2021="","",subvencions10_2021))</f>
        <v/>
      </c>
      <c r="S12" s="177" t="str">
        <f>IF(nomemp11= " ", " ", IF(subvencions10_2022="","",subvencions10_2022))</f>
        <v/>
      </c>
      <c r="T12" s="177" t="str">
        <f>IF(nomemp11= " ", " ", IF(subvencions10_2023="","",subvencions10_2023))</f>
        <v/>
      </c>
      <c r="U12" s="177" t="str">
        <f>IF(nomemp11= " ", "",IF(iprivadaipublica10_2016="","",iprivadaipublica10_2016))</f>
        <v/>
      </c>
      <c r="V12" s="177" t="str">
        <f>IF(nomemp11= " ", "",IF(iprivadaipublica10_2017="","",iprivadaipublica10_2017))</f>
        <v/>
      </c>
      <c r="W12" s="177" t="str">
        <f>IF(nomemp11= " ", "",IF(iprivadaipublica10_2018="","",iprivadaipublica10_2018))</f>
        <v/>
      </c>
      <c r="X12" s="177" t="str">
        <f>IF(nomemp11= " ", "",IF(iprivadaipublica10_2019="","",iprivadaipublica10_2019))</f>
        <v/>
      </c>
      <c r="Y12" s="177" t="str">
        <f>IF(nomemp11= " ", "",IF(iprivadaipublica10_2020="","",iprivadaipublica10_2020))</f>
        <v/>
      </c>
      <c r="Z12" s="177" t="str">
        <f>IF(nomemp11= " ", "",IF(iprivadaipublica10_2021="","",iprivadaipublica10_2021))</f>
        <v/>
      </c>
      <c r="AA12" s="177" t="str">
        <f>IF(nomemp11= " ", "",IF(iprivadaipublica10_2022="","",iprivadaipublica10_2022))</f>
        <v/>
      </c>
      <c r="AB12" s="177" t="str">
        <f>IF(nomemp11= " ", "",IF(iprivadaipublica10_2023="","",iprivadaipublica10_2023))</f>
        <v/>
      </c>
      <c r="AC12" s="177" t="str">
        <f>IF(nomemp11="","",IF(copera10_2016="","",copera10_2016))</f>
        <v/>
      </c>
      <c r="AD12" s="177" t="str">
        <f>IF(nomemp11="","",IF(copera10_2017="","",copera10_2017))</f>
        <v/>
      </c>
      <c r="AE12" s="177" t="str">
        <f>IF(nomemp11="","",IF(copera10_2018="","",copera10_2018))</f>
        <v/>
      </c>
      <c r="AF12" s="177" t="str">
        <f>IF(nomemp11="","",IF(copera10_2019="","",copera10_2019))</f>
        <v/>
      </c>
      <c r="AG12" s="177" t="str">
        <f>IF(nomemp11="","",IF(copera10_2020="","",copera10_2020))</f>
        <v/>
      </c>
      <c r="AH12" s="177" t="str">
        <f>IF(nomemp11="","",IF(copera10_2021="","",copera10_2021))</f>
        <v/>
      </c>
      <c r="AI12" s="177" t="str">
        <f>IF(nomemp11="","",IF(copera10_2022="","",copera10_2022))</f>
        <v/>
      </c>
      <c r="AJ12" s="177" t="str">
        <f>IF(nomemp11="","",IF(copera10_2023="","",copera10_2023))</f>
        <v/>
      </c>
      <c r="AK12" s="177" t="str">
        <f>IF(nomemp11="","",IF(investigadorshomes10_2016="","",investigadorshomes10_2016))</f>
        <v/>
      </c>
      <c r="AL12" s="177" t="str">
        <f>IF(nomemp11="","",IF(investigadorshomes10_2017="","",investigadorshomes10_2017))</f>
        <v/>
      </c>
      <c r="AM12" s="177" t="str">
        <f>IF(nomemp11="","",IF(investigadorshomes10_2018="","",investigadorshomes10_2018))</f>
        <v/>
      </c>
      <c r="AN12" s="177" t="str">
        <f>IF(nomemp11="","",IF(investigadorshomes10_2019="","",investigadorshomes10_2019))</f>
        <v/>
      </c>
      <c r="AO12" s="177" t="str">
        <f>IF(nomemp11="","",IF(investigadorshomes10_2020="","",investigadorshomes10_2020))</f>
        <v/>
      </c>
      <c r="AP12" s="177" t="str">
        <f>IF(nomemp11="","",IF(investigadorshomes10_2021="","",investigadorshomes10_2021))</f>
        <v/>
      </c>
      <c r="AQ12" s="177" t="str">
        <f>IF(nomemp11="","",IF(investigadorshomes10_2022="","",investigadorshomes10_2022))</f>
        <v/>
      </c>
      <c r="AR12" s="177" t="str">
        <f>IF(nomemp11="","",IF(investigadorshomes10_2023="","",investigadorshomes10_2023))</f>
        <v/>
      </c>
      <c r="AS12" s="177" t="str">
        <f>IF(nomemp11="","",IF(investigadorsdones10_2016= "","",investigadorsdones10_2016))</f>
        <v/>
      </c>
      <c r="AT12" s="177" t="str">
        <f>IF(nomemp11="","",IF(investigadorsdones10_2017= "","",investigadorsdones10_2017))</f>
        <v/>
      </c>
      <c r="AU12" s="177" t="str">
        <f>IF(nomemp11="","",IF(investigadorsdones10_2018= "","",investigadorsdones10_2018))</f>
        <v/>
      </c>
      <c r="AV12" s="177" t="str">
        <f>IF(nomemp11="","",IF(investigadorsdones10_2019= "","",investigadorsdones10_2019))</f>
        <v/>
      </c>
      <c r="AW12" s="177" t="str">
        <f>IF(nomemp11="","",IF(investigadorsdones10_2020= "","",investigadorsdones10_2020))</f>
        <v/>
      </c>
      <c r="AX12" s="177" t="str">
        <f>IF(nomemp11="","",IF(investigadorsdones10_2021= "","",investigadorsdones10_2021))</f>
        <v/>
      </c>
      <c r="AY12" s="177" t="str">
        <f>IF(nomemp11="","",IF(investigadorsdones10_2022= "","",investigadorsdones10_2022))</f>
        <v/>
      </c>
      <c r="AZ12" s="177" t="str">
        <f>IF(nomemp11="","",IF(investigadorsdones10_2023= "","",investigadorsdones10_2023))</f>
        <v/>
      </c>
      <c r="BA12" s="177" t="str">
        <f>IF(nomemp11=" ", " ",IF(investigadorstotal10_2016="","",investigadorstotal10_2016))</f>
        <v/>
      </c>
      <c r="BB12" s="177" t="str">
        <f>IF(nomemp11=" ", " ",IF(investigadorstotal10_2017="","",investigadorstotal10_2017))</f>
        <v/>
      </c>
      <c r="BC12" s="177" t="str">
        <f>IF(nomemp11=" ", " ",IF(investigadorstotal10_2018="","",investigadorstotal10_2018))</f>
        <v/>
      </c>
      <c r="BD12" s="177" t="str">
        <f>IF(nomemp11=" ", " ",IF(investigadorstotal10_2019="","",investigadorstotal10_2019))</f>
        <v/>
      </c>
      <c r="BE12" s="177" t="str">
        <f>IF(nomemp11=" ", " ",IF(investigadorstotal10_2020="","",investigadorstotal10_2020))</f>
        <v/>
      </c>
      <c r="BF12" s="177" t="str">
        <f>IF(nomemp11=" ", " ",IF(investigadorstotal10_2021="","",investigadorstotal10_2021))</f>
        <v/>
      </c>
      <c r="BG12" s="177" t="str">
        <f>IF(nomemp11=" ", " ",IF(investigadorstotal10_2022="","",investigadorstotal10_2022))</f>
        <v/>
      </c>
      <c r="BH12" s="177" t="str">
        <f>IF(nomemp11=" ", " ",IF(investigadorstotal10_2023="","",investigadorstotal10_2023))</f>
        <v/>
      </c>
      <c r="BI12" s="177" t="str">
        <f>IF(nomemp11=" ", " ",IF(certificacio10_2016="","",certificacio10_2016))</f>
        <v/>
      </c>
      <c r="BJ12" s="177" t="str">
        <f>IF(nomemp11=" ", " ",IF(certificacio10_2017="","",certificacio10_2017))</f>
        <v/>
      </c>
      <c r="BK12" s="177" t="str">
        <f>IF(nomemp11=" ", " ",IF(certificacio10_2018="","",certificacio10_2018))</f>
        <v/>
      </c>
      <c r="BL12" s="177" t="str">
        <f>IF(nomemp11=" "," ",IF(certificacio10_2019="","",certificacio10_2019))</f>
        <v/>
      </c>
      <c r="BM12" s="177" t="str">
        <f>IF(nomemp11=" ", " ",IF(certificacio10_2020="","",certificacio10_2020))</f>
        <v/>
      </c>
      <c r="BN12" s="177" t="str">
        <f>IF(nomemp11=" ", " ",IF(certificacio10_2021="","",certificacio10_2021))</f>
        <v/>
      </c>
      <c r="BO12" s="177" t="str">
        <f>IF(nomemp11=" ", " ",IF(certificacio10_2022="","",certificacio10_2022))</f>
        <v/>
      </c>
      <c r="BP12" s="177" t="str">
        <f>IF(nomemp11=" ", " ",IF(certificacio10_2023="","",certificacio10_2023))</f>
        <v/>
      </c>
      <c r="BQ12" s="177" t="str">
        <f>IF(nomemp11="","",IF(ipublica10_2016="","",ipublica10_2016))</f>
        <v/>
      </c>
      <c r="BR12" s="177" t="str">
        <f>IF(nomemp11="","",IF(ipublica10_2017="","",ipublica10_2017))</f>
        <v/>
      </c>
      <c r="BS12" s="177" t="str">
        <f>IF(nomemp11="","",IF(ipublica10_2018="","",ipublica10_2018))</f>
        <v/>
      </c>
      <c r="BT12" s="177" t="str">
        <f>IF(nomemp11="","",IF(ipublica10_2019="","",ipublica10_2019))</f>
        <v/>
      </c>
      <c r="BU12" s="177" t="str">
        <f>IF(nomemp11="","",IF(ipublica10_2020="","",ipublica10_2020))</f>
        <v/>
      </c>
      <c r="BV12" s="177" t="str">
        <f>IF(nomemp11="","",IF(ipublica10_2021="","",ipublica10_2021))</f>
        <v/>
      </c>
      <c r="BW12" s="177" t="str">
        <f>IF(nomemp11="","",IF(ipublica10_2022="","",ipublica10_2022))</f>
        <v/>
      </c>
      <c r="BX12" s="177" t="str">
        <f>IF(nomemp11="","",IF(ipublica10_2023="","",ipublica10_2023))</f>
        <v/>
      </c>
      <c r="BY12" s="177" t="str">
        <f>IF(nomemp11="","",IF(iprivada_102016="","",iprivada_102016))</f>
        <v/>
      </c>
      <c r="BZ12" s="177" t="str">
        <f>IF(nomemp11="","",IF(iprivada10_2017="","",iprivada10_2017))</f>
        <v/>
      </c>
      <c r="CA12" s="177" t="str">
        <f>IF(nomemp11="","",IF(iprivada10_2018="","",iprivada10_2018))</f>
        <v/>
      </c>
      <c r="CB12" s="177" t="str">
        <f>IF(nomemp11="","",IF(iprivada10_2019="","",iprivada10_2019))</f>
        <v/>
      </c>
      <c r="CC12" s="177" t="str">
        <f>IF(nomemp11="","",IF(iprivada10_2020="","",iprivada10_2020))</f>
        <v/>
      </c>
      <c r="CD12" s="177" t="str">
        <f>IF(nomemp11="","",IF(iprivada10_2021="","",iprivada10_2021))</f>
        <v/>
      </c>
      <c r="CE12" s="177" t="str">
        <f>IF(nomemp11="","",IF(iprivada10_2022="","",iprivada10_2022))</f>
        <v/>
      </c>
      <c r="CF12" s="177" t="str">
        <f>IF(nomemp11="","",IF(iprivada10_2023="","",iprivada10_2023))</f>
        <v/>
      </c>
      <c r="CG12" s="177" t="str">
        <f>IF(nomemp11="","",IF(investigadorstotalprojecte10_2016="","",investigadorstotalprojecte10_2016))</f>
        <v/>
      </c>
      <c r="CH12" s="177" t="str">
        <f>IF(nomemp11="","",IF(investigadorstotalprojecte10_2017="","",investigadorstotalprojecte10_2017))</f>
        <v/>
      </c>
      <c r="CI12" s="177" t="str">
        <f>IF(nomemp11="","",IF(investigadorstotalprojecte10_2018="","",investigadorstotalprojecte10_2018))</f>
        <v/>
      </c>
      <c r="CJ12" s="177" t="str">
        <f>IF(nomemp11="","",IF(investigadorstotalprojecte10_2019="","",investigadorstotalprojecte10_2019))</f>
        <v/>
      </c>
      <c r="CK12" s="177" t="str">
        <f>IF(nomemp11="","",IF(investigadorstotalprojecte10_2020="","",investigadorstotalprojecte10_2020))</f>
        <v/>
      </c>
      <c r="CL12" s="177" t="str">
        <f>IF(nomemp11="","",IF(investigadorstotalprojecte10_2021="","",investigadorstotalprojecte10_2021))</f>
        <v/>
      </c>
      <c r="CM12" s="177" t="str">
        <f>IF(nomemp11="","",IF(investigadorstotalprojecte10_2022="","",investigadorstotalprojecte10_2022))</f>
        <v/>
      </c>
      <c r="CN12" s="177" t="str">
        <f>IF(nomemp11="","",IF(investigadorstotalprojecte10_2023="","",investigadorstotalprojecte10_2023))</f>
        <v/>
      </c>
      <c r="CO12" s="177" t="str">
        <f>IF(nomemp11="","",IF(investigadorshomesprojecte10_2016="","",investigadorshomesprojecte10_2016))</f>
        <v/>
      </c>
      <c r="CP12" s="177" t="str">
        <f>IF(nomemp11="","",IF(investigadorshomesprojecte10_2017="","",investigadorshomesprojecte10_2017))</f>
        <v/>
      </c>
      <c r="CQ12" s="177" t="str">
        <f>IF(nomemp11="","",IF(investigadorshomesprojecte10_2018="","",investigadorshomesprojecte10_2018))</f>
        <v/>
      </c>
      <c r="CR12" s="177" t="str">
        <f>IF(nomemp11="","",IF(investigadorshomesprojecte10_2019="","",investigadorshomesprojecte10_2019))</f>
        <v/>
      </c>
      <c r="CS12" s="177" t="str">
        <f>IF(nomemp11="","",IF(investigadorshomesprojecte10_2020="","",investigadorshomesprojecte10_2020))</f>
        <v/>
      </c>
      <c r="CT12" s="177" t="str">
        <f>IF(nomemp11="","",IF(investigadorshomesprojecte10_2021="","",investigadorshomesprojecte10_2021))</f>
        <v/>
      </c>
      <c r="CU12" s="177" t="str">
        <f>IF(nomemp11="","",IF(investigadorshomesprojecte10_2022="","",investigadorshomesprojecte10_2022))</f>
        <v/>
      </c>
      <c r="CV12" s="177" t="str">
        <f>IF(nomemp11="","",IF(investigadorshomesprojecte10_2023="","",investigadorshomesprojecte10_2023))</f>
        <v/>
      </c>
      <c r="CW12" s="177" t="str">
        <f>IF(nomemp11="","",IF(investigadorsdonesprojecte10_2016="","",investigadorsdonesprojecte10_2016))</f>
        <v/>
      </c>
      <c r="CX12" s="177" t="str">
        <f>IF(nomemp11="","",IF(investigadorsdonesprojecte10_2017="","",investigadorsdonesprojecte10_2017))</f>
        <v/>
      </c>
      <c r="CY12" s="177" t="str">
        <f>IF(nomemp11="","",IF(investigadorsdonesprojecte10_2018="","",investigadorsdonesprojecte10_2018))</f>
        <v/>
      </c>
      <c r="CZ12" s="177" t="str">
        <f>IF(nomemp11="","",IF(investigadorsdonesprojecte10_2019="","",investigadorsdonesprojecte10_2019))</f>
        <v/>
      </c>
      <c r="DA12" s="177" t="str">
        <f>IF(nomemp11="","",IF(investigadorsdonesprojecte10_2020="","",investigadorsdonesprojecte10_2020))</f>
        <v/>
      </c>
      <c r="DB12" s="177" t="str">
        <f>IF(nomemp11="","",IF(investigadorsdonesprojecte10_2021="","",investigadorsdonesprojecte10_2021))</f>
        <v/>
      </c>
      <c r="DC12" s="177" t="str">
        <f>IF(nomemp11="","",IF(investigadorsdonesprojecte10_2022="","",investigadorsdonesprojecte10_2022))</f>
        <v/>
      </c>
      <c r="DD12" s="177" t="str">
        <f>IF(nomemp11="","",IF(investigadorsdonesprojecte10_2023="","",investigadorsdonesprojecte10_2023))</f>
        <v/>
      </c>
      <c r="DE12" s="177" t="str">
        <f>IF(nomemp11="","",IF(empresesprivades10_2017="","",empresesprivades10_2017))</f>
        <v/>
      </c>
      <c r="DF12" s="177" t="str">
        <f>IF(nomemp11="","",IF(empresesprivades10_2017="","",empresesprivades10_2017))</f>
        <v/>
      </c>
      <c r="DG12" s="177" t="str">
        <f>IF(nomemp11="","",IF(empresesprivades10_2018="","",empresesprivades10_2018))</f>
        <v/>
      </c>
      <c r="DH12" s="177" t="str">
        <f>IF(nomemp11="","",IF(empresesprivades10_2019="","",empresesprivades10_2019))</f>
        <v/>
      </c>
      <c r="DI12" s="177" t="str">
        <f>IF(nomemp11="","",IF(empresesprivades10_2020="","",empresesprivades10_2020))</f>
        <v/>
      </c>
      <c r="DJ12" s="177" t="str">
        <f>IF(nomemp11="","",IF(empresesprivades10_2021="","",empresesprivades10_2021))</f>
        <v/>
      </c>
      <c r="DK12" s="177" t="str">
        <f>IF(nomemp11="","",IF(empresesprivades10_2022="","",empresesprivades10_2022))</f>
        <v/>
      </c>
      <c r="DL12" s="177" t="str">
        <f>IF(nomemp11="","",IF(empresesprivades10_2023="","",empresesprivades10_2023))</f>
        <v/>
      </c>
      <c r="DM12" s="177" t="str">
        <f>IF(nomemp11="","",IF(empresespubliques10_2017="","",empresespubliques10_2017))</f>
        <v/>
      </c>
      <c r="DN12" s="177" t="str">
        <f>IF(nomemp11="","",IF(empresespubliques10_2017="","",empresespubliques10_2017))</f>
        <v/>
      </c>
      <c r="DO12" s="177" t="str">
        <f>IF(nomemp11="","",IF(empresespubliques10_2018="","",empresespubliques10_2018))</f>
        <v/>
      </c>
      <c r="DP12" s="177" t="str">
        <f>IF(nomemp11="","",IF(empresespubliques10_2019="","",empresespubliques10_2019))</f>
        <v/>
      </c>
      <c r="DQ12" s="177" t="str">
        <f>IF(nomemp11="","",IF(empresespubliques10_2020="","",empresespubliques10_2020))</f>
        <v/>
      </c>
      <c r="DR12" s="177" t="str">
        <f>IF(nomemp11="","",IF(empresespubliques10_2021="","",empresespubliques10_2021))</f>
        <v/>
      </c>
      <c r="DS12" s="177" t="str">
        <f>IF(nomemp11="","",IF(empresespubliques10_2022="","",empresespubliques10_2022))</f>
        <v/>
      </c>
      <c r="DT12" s="177" t="str">
        <f>IF(nomemp11="","",IF(empresespubliques10_2023="","",empresespubliques10_2023))</f>
        <v/>
      </c>
      <c r="DU12" s="177" t="str">
        <f>IF(nomemp11="","",IF(centrestecnologics10_2017="","",centrestecnologics10_2017))</f>
        <v/>
      </c>
      <c r="DV12" s="177" t="str">
        <f>IF(nomemp11="","",IF(centrestecnologics10_2017="","",centrestecnologics10_2017))</f>
        <v/>
      </c>
      <c r="DW12" s="177" t="str">
        <f>IF(nomemp11="","",IF(centrestecnologics10_2018="","",centrestecnologics10_2018))</f>
        <v/>
      </c>
      <c r="DX12" s="177" t="str">
        <f>IF(nomemp11="","",IF(centrestecnologics10_2019="","",centrestecnologics10_2019))</f>
        <v/>
      </c>
      <c r="DY12" s="177" t="str">
        <f>IF(nomemp11="","",IF(centrestecnologics10_2020="","",centrestecnologics10_2020))</f>
        <v/>
      </c>
      <c r="DZ12" s="177" t="str">
        <f>IF(nomemp11="","",IF(centrestecnologics10_2021="","",centrestecnologics10_2021))</f>
        <v/>
      </c>
      <c r="EA12" s="177" t="str">
        <f>IF(nomemp11="","",IF(centrestecnologics10_2022="","",centrestecnologics10_2022))</f>
        <v/>
      </c>
      <c r="EB12" s="177" t="str">
        <f>IF(nomemp11="","",IF(centrestecnologics10_2023="","",centrestecnologics10_2023))</f>
        <v/>
      </c>
      <c r="EC12" s="177" t="str">
        <f>IF(nomemp11="","",IF(universitats10_2017="","",universitats10_2017))</f>
        <v/>
      </c>
      <c r="ED12" s="177" t="str">
        <f>IF(nomemp11="","",IF(universitats10_2017="","",universitats10_2017))</f>
        <v/>
      </c>
      <c r="EE12" s="177" t="str">
        <f>IF(nomemp11="","",IF(universitats10_2018="","",universitats10_2018))</f>
        <v/>
      </c>
      <c r="EF12" s="177" t="str">
        <f>IF(nomemp11="","",IF(universitats10_2019="","",universitats10_2019))</f>
        <v/>
      </c>
      <c r="EG12" s="177" t="str">
        <f>IF(nomemp11="","",IF(universitats10_2020="","",universitats10_2020))</f>
        <v/>
      </c>
      <c r="EH12" s="177" t="str">
        <f>IF(nomemp11="","",IF(universitats10_2021="","",universitats10_2021))</f>
        <v/>
      </c>
      <c r="EI12" s="177" t="str">
        <f>IF(nomemp11="","",IF(universitats10_2022="","",universitats10_2022))</f>
        <v/>
      </c>
      <c r="EJ12" s="177" t="str">
        <f>IF(nomemp11="","",IF(universitats10_2023="","",universitats10_2023))</f>
        <v/>
      </c>
      <c r="EK12" s="177" t="str">
        <f>IF(nomemp11="","",IF(centresrecerca10_2017="","",centresrecerca10_2017))</f>
        <v/>
      </c>
      <c r="EL12" s="177" t="str">
        <f>IF(nomemp11="","",IF(centresrecerca10_2017="","",centresrecerca10_2017))</f>
        <v/>
      </c>
      <c r="EM12" s="177" t="str">
        <f>IF(nomemp11="","",IF(centresrecerca10_2018="","",centresrecerca10_2018))</f>
        <v/>
      </c>
      <c r="EN12" s="177" t="str">
        <f>IF(nomemp11="","",IF(centresrecerca10_2019="","",centresrecerca10_2019))</f>
        <v/>
      </c>
      <c r="EO12" s="177" t="str">
        <f>IF(nomemp11="","",IF(centresrecerca10_2020="","",centresrecerca10_2020))</f>
        <v/>
      </c>
      <c r="EP12" s="177" t="str">
        <f>IF(nomemp11="","",IF(centresrecerca10_2021="","",centresrecerca10_2021))</f>
        <v/>
      </c>
      <c r="EQ12" s="177" t="str">
        <f>IF(nomemp11="","",IF(centresrecerca10_2022="","",centresrecerca10_2022))</f>
        <v/>
      </c>
      <c r="ER12" s="177" t="str">
        <f>IF(nomemp11="","",IF(centresrecerca10_2023="","",centresrecerca10_2023))</f>
        <v/>
      </c>
      <c r="ES12" s="177" t="str">
        <f>IF(nomemp11="","",IF(infraestructures10_2017="","",infraestructures10_2017))</f>
        <v/>
      </c>
      <c r="ET12" s="177" t="str">
        <f>IF(nomemp11="","",IF(infraestructures10_2017="","",infraestructures10_2017))</f>
        <v/>
      </c>
      <c r="EU12" s="177" t="str">
        <f>IF(nomemp11="","",IF(infraestructures10_2018="","",infraestructures10_2018))</f>
        <v/>
      </c>
      <c r="EV12" s="177" t="str">
        <f>IF(nomemp11="","",IF(infraestructures10_2019="","",infraestructures10_2019))</f>
        <v/>
      </c>
      <c r="EW12" s="177" t="str">
        <f>IF(nomemp11="","",IF(infraestructures10_2020="","",infraestructures10_2020))</f>
        <v/>
      </c>
      <c r="EX12" s="177" t="str">
        <f>IF(nomemp11="","",IF(infraestructures10_2021="","",infraestructures10_2021))</f>
        <v/>
      </c>
      <c r="EY12" s="177" t="str">
        <f>IF(nomemp11="","",IF(infraestructures10_2022="","",infraestructures10_2022))</f>
        <v/>
      </c>
      <c r="EZ12" s="177" t="str">
        <f>IF(nomemp11="","",IF(infraestructures10_2023="","",infraestructures10_2023))</f>
        <v/>
      </c>
      <c r="FA12" s="177" t="str">
        <f>IF(nomemp11="","",IF(spinoff10_2017="","",spinoff10_2017))</f>
        <v/>
      </c>
      <c r="FB12" s="177" t="str">
        <f>IF(nomemp11="","",IF(spinoff10_2017="","",spinoff10_2017))</f>
        <v/>
      </c>
      <c r="FC12" s="177" t="str">
        <f>IF(nomemp11="","",IF(spinoff10_2018="","",spinoff10_2018))</f>
        <v/>
      </c>
      <c r="FD12" s="177" t="str">
        <f>IF(nomemp11="","",IF(spinoff10_2019="","",spinoff10_2019))</f>
        <v/>
      </c>
      <c r="FE12" s="177" t="str">
        <f>IF(nomemp11="","",IF(spinoff10_2020="","",spinoff10_2020))</f>
        <v/>
      </c>
      <c r="FF12" s="177" t="str">
        <f>IF(nomemp11="","",IF(spinoff10_2021="","",spinoff10_2021))</f>
        <v/>
      </c>
      <c r="FG12" s="177" t="str">
        <f>IF(nomemp11="","",IF(spinoff10_2022="","",spinoff10_2022))</f>
        <v/>
      </c>
      <c r="FH12" s="177" t="str">
        <f>IF(nomemp11="","",IF(spinoff10_2023="","",spinoff10_2023))</f>
        <v/>
      </c>
      <c r="FI12" s="177" t="str">
        <f>IF(nomemp11="","",IF(patents10_2017="","",patents10_2017))</f>
        <v/>
      </c>
      <c r="FJ12" s="177" t="str">
        <f>IF(nomemp11="","",IF(patents10_2017="","",patents10_2017))</f>
        <v/>
      </c>
      <c r="FK12" s="177" t="str">
        <f>IF(nomemp11="","",IF(patents10_2018="","",patents10_2018))</f>
        <v/>
      </c>
      <c r="FL12" s="177" t="str">
        <f>IF(nomemp11="","",IF(patents10_2019="","",patents10_2019))</f>
        <v/>
      </c>
      <c r="FM12" s="177" t="str">
        <f>IF(nomemp11="","",IF(patents10_2020="","",patents10_2020))</f>
        <v/>
      </c>
      <c r="FN12" s="177" t="str">
        <f>IF(nomemp11="","",IF(patents10_2021="","",patents10_2021))</f>
        <v/>
      </c>
      <c r="FO12" s="177" t="str">
        <f>IF(nomemp11="","",IF(patents10_2022="","",patents10_2022))</f>
        <v/>
      </c>
      <c r="FP12" s="177" t="str">
        <f>IF(nomemp11="","",IF(patents10_2023="","",patents10_2023))</f>
        <v/>
      </c>
      <c r="FQ12" s="177" t="str">
        <f>IF(nomemp11="","",IF(marques10_2017="","",marques10_2017))</f>
        <v/>
      </c>
      <c r="FR12" s="177" t="str">
        <f>IF(nomemp11="","",IF(marques10_2017="","",marques10_2017))</f>
        <v/>
      </c>
      <c r="FS12" s="177" t="str">
        <f>IF(nomemp11="","",IF(marques10_2018="","",marques10_2018))</f>
        <v/>
      </c>
      <c r="FT12" s="177" t="str">
        <f>IF(nomemp11="","",IF(marques10_2019="","",marques10_2019))</f>
        <v/>
      </c>
      <c r="FU12" s="177" t="str">
        <f>IF(nomemp11="","",IF(marques10_2020="","",marques10_2020))</f>
        <v/>
      </c>
      <c r="FV12" s="177" t="str">
        <f>IF(nomemp11="","",IF(marques10_2021="","",marques10_2021))</f>
        <v/>
      </c>
      <c r="FW12" s="177" t="str">
        <f>IF(nomemp11="","",IF(marques10_2022="","",marques10_2022))</f>
        <v/>
      </c>
      <c r="FX12" s="177" t="str">
        <f>IF(nomemp11="","",IF(marques10_2023="","",marques10_2023))</f>
        <v/>
      </c>
      <c r="FY12" s="177" t="str">
        <f>IF(nomemp11="","",IF(innoven10_2017="","",innoven10_2017))</f>
        <v/>
      </c>
      <c r="FZ12" s="177" t="str">
        <f>IF(nomemp11="","",IF(innoven10_2017="","",innoven10_2017))</f>
        <v/>
      </c>
      <c r="GA12" s="177" t="str">
        <f>IF(nomemp11="","",IF(innoven10_2018="","",innoven10_2018))</f>
        <v/>
      </c>
      <c r="GB12" s="177" t="str">
        <f>IF(nomemp11="","",IF(innoven10_2019="","",innoven10_2019))</f>
        <v/>
      </c>
      <c r="GC12" s="177" t="str">
        <f>IF(nomemp11="","",IF(innoven10_2020="","",innoven10_2020))</f>
        <v/>
      </c>
      <c r="GD12" s="177" t="str">
        <f>IF(nomemp11="","",IF(innoven10_2021="","",innoven10_2021))</f>
        <v/>
      </c>
      <c r="GE12" s="177" t="str">
        <f>IF(nomemp11="","",IF(innoven10_2022="","",innoven10_2022))</f>
        <v/>
      </c>
      <c r="GF12" s="177" t="str">
        <f>IF(nomemp11="","",IF(innoven10_2023="","",innoven10_2023))</f>
        <v/>
      </c>
      <c r="GG12" s="177" t="str">
        <f>IF(nomemp11="","",IF(llocsdetreball10_2017="","",llocsdetreball10_2017))</f>
        <v/>
      </c>
      <c r="GH12" s="177" t="str">
        <f>IF(nomemp11="","",IF(llocsdetreball10_2017="","",llocsdetreball10_2017))</f>
        <v/>
      </c>
      <c r="GI12" s="177" t="str">
        <f>IF(nomemp11="","",IF(llocsdetreball10_2018="","",llocsdetreball10_2018))</f>
        <v/>
      </c>
      <c r="GJ12" s="177" t="str">
        <f>IF(nomemp11="","",IF(llocsdetreball10_2019="","",llocsdetreball10_2019))</f>
        <v/>
      </c>
      <c r="GK12" s="177" t="str">
        <f>IF(nomemp11="","",IF(llocsdetreball10_2020="","",llocsdetreball10_2020))</f>
        <v/>
      </c>
      <c r="GL12" s="177" t="str">
        <f>IF(nomemp11="","",IF(llocsdetreball10_2021="","",llocsdetreball10_2021))</f>
        <v/>
      </c>
      <c r="GM12" s="177" t="str">
        <f>IF(nomemp11="","",IF(llocsdetreball10_2022="","",llocsdetreball10_2022))</f>
        <v/>
      </c>
      <c r="GN12" s="177" t="str">
        <f>IF(nomemp11="","",IF(llocsdetreball10_2023="","",llocsdetreball10_2023))</f>
        <v/>
      </c>
      <c r="GO12" s="177" t="str">
        <f>IF(nomemp11="","",IF(formacio10_2017="","",formacio10_2017))</f>
        <v/>
      </c>
      <c r="GP12" s="177" t="str">
        <f>IF(nomemp11="","",IF(formacio10_2017="","",formacio10_2017))</f>
        <v/>
      </c>
      <c r="GQ12" s="177" t="str">
        <f>IF(nomemp11="","",IF(formacio10_2018="","",formacio10_2018))</f>
        <v/>
      </c>
      <c r="GR12" s="177" t="str">
        <f>IF(nomemp11="","",IF(formacio10_2019="","",formacio10_2019))</f>
        <v/>
      </c>
      <c r="GS12" s="177" t="str">
        <f>IF(nomemp11="","",IF(formacio10_2020="","",formacio10_2020))</f>
        <v/>
      </c>
      <c r="GT12" s="177" t="str">
        <f>IF(nomemp11="","",IF(formacio10_2021="","",formacio10_2021))</f>
        <v/>
      </c>
      <c r="GU12" s="177" t="str">
        <f>IF(nomemp11="","",IF(formacio10_2022="","",formacio10_2022))</f>
        <v/>
      </c>
      <c r="GV12" s="177" t="str">
        <f>IF(nomemp11="","",IF(formacio10_2023="","",formacio10_2023))</f>
        <v/>
      </c>
      <c r="GW12" s="177" t="str">
        <f>IF(nomemp11="","",IF(ingressos10_2017="","",ingressos10_2017))</f>
        <v/>
      </c>
      <c r="GX12" s="177" t="str">
        <f>IF(nomemp11="","",IF(ingressos10_2017="","",ingressos10_2017))</f>
        <v/>
      </c>
      <c r="GY12" s="177" t="str">
        <f>IF(nomemp11="","",IF(ingressos10_2018="","",ingressos10_2018))</f>
        <v/>
      </c>
      <c r="GZ12" s="177" t="str">
        <f>IF(nomemp11="","",IF(ingressos10_2019="","",ingressos10_2019))</f>
        <v/>
      </c>
      <c r="HA12" s="177" t="str">
        <f>IF(nomemp11="","",IF(ingressos10_2020="","",ingressos10_2020))</f>
        <v/>
      </c>
      <c r="HB12" s="177" t="str">
        <f>IF(nomemp11="","",IF(ingressos10_2021="","",ingressos10_2021))</f>
        <v/>
      </c>
      <c r="HC12" s="177" t="str">
        <f>IF(nomemp11="","",IF(ingressos10_2022="","",ingressos10_2022))</f>
        <v/>
      </c>
      <c r="HD12" s="177" t="str">
        <f>IF(nomemp11="","",IF(ingressos10_2023="","",ingressos10_2023))</f>
        <v/>
      </c>
      <c r="HE12" s="177" t="str">
        <f>IF(nomemp11="","",IF(exportacions10_2017="","",exportacions10_2017))</f>
        <v/>
      </c>
      <c r="HF12" s="177" t="str">
        <f>IF(nomemp11="","",IF(exportacions10_2017="","",exportacions10_2017))</f>
        <v/>
      </c>
      <c r="HG12" s="177" t="str">
        <f>IF(nomemp11="","",IF(exportacions10_2018="","",exportacions10_2018))</f>
        <v/>
      </c>
      <c r="HH12" s="177" t="str">
        <f>IF(nomemp11="","",IF(exportacions10_2019="","",exportacions10_2019))</f>
        <v/>
      </c>
      <c r="HI12" s="177" t="str">
        <f>IF(nomemp11="","",IF(exportacions10_2020="","",exportacions10_2020))</f>
        <v/>
      </c>
      <c r="HJ12" s="177" t="str">
        <f>IF(nomemp11="","",IF(exportacions10_2021="","",exportacions10_2021))</f>
        <v/>
      </c>
      <c r="HK12" s="177" t="str">
        <f>IF(nomemp11="","",IF(exportacions10_2022="","",exportacions10_2022))</f>
        <v/>
      </c>
      <c r="HL12" s="177" t="str">
        <f>IF(nomemp11="","",IF(exportacions10_2023="","",exportacions10_2023))</f>
        <v/>
      </c>
      <c r="HM12" s="177" t="str">
        <f>IF(nomemp11="","",IF(oportunitats10_2017="","",oportunitats10_2017))</f>
        <v/>
      </c>
      <c r="HN12" s="177" t="str">
        <f>IF(nomemp11="","",IF(oportunitats10_2017="","",oportunitats10_2017))</f>
        <v/>
      </c>
      <c r="HO12" s="177" t="str">
        <f>IF(nomemp11="","",IF(oportunitats10_2018="","",oportunitats10_2018))</f>
        <v/>
      </c>
      <c r="HP12" s="177" t="str">
        <f>IF(nomemp11="","",IF(oportunitats10_2019="","",oportunitats10_2019))</f>
        <v/>
      </c>
      <c r="HQ12" s="177" t="str">
        <f>IF(nomemp11="","",IF(oportunitats10_2020="","",oportunitats10_2020))</f>
        <v/>
      </c>
      <c r="HR12" s="177" t="str">
        <f>IF(nomemp11="","",IF(oportunitats10_2021="","",oportunitats10_2021))</f>
        <v/>
      </c>
      <c r="HS12" s="177" t="str">
        <f>IF(nomemp11="","",IF(oportunitats10_2022="","",oportunitats10_2022))</f>
        <v/>
      </c>
      <c r="HT12" s="177" t="str">
        <f>IF(nomemp11="","",IF(oportunitats10_2023="","",oportunitats10_2023))</f>
        <v/>
      </c>
      <c r="HU12" s="177" t="str">
        <f>IF(nomemp11="","",IF(productivitat10_2017="","",productivitat10_2017))</f>
        <v/>
      </c>
      <c r="HV12" s="177" t="str">
        <f>IF(nomemp11="","",IF(productivitat10_2017="","",productivitat10_2017))</f>
        <v/>
      </c>
      <c r="HW12" s="177" t="str">
        <f>IF(nomemp11="","",IF(productivitat10_2018="","",productivitat10_2018))</f>
        <v/>
      </c>
      <c r="HX12" s="177" t="str">
        <f>IF(nomemp11="","",IF(productivitat10_2019="","",productivitat10_2019))</f>
        <v/>
      </c>
      <c r="HY12" s="177" t="str">
        <f>IF(nomemp11="","",IF(productivitat10_2020="","",productivitat10_2020))</f>
        <v/>
      </c>
      <c r="HZ12" s="177" t="str">
        <f>IF(nomemp11="","",IF(productivitat10_2021="","",productivitat10_2021))</f>
        <v/>
      </c>
      <c r="IA12" s="177" t="str">
        <f>IF(nomemp11="","",IF(productivitat10_2022="","",productivitat10_2022))</f>
        <v/>
      </c>
      <c r="IB12" s="177" t="str">
        <f>IF(nomemp11="","",IF(productivitat10_2023="","",productivitat10_2023))</f>
        <v/>
      </c>
      <c r="IC12" s="177" t="str">
        <f>IF(nomemp11="","",IF(aigua10_2017="","",aigua10_2017))</f>
        <v/>
      </c>
      <c r="ID12" s="177" t="str">
        <f>IF(nomemp11="","",IF(aigua10_2017="","",aigua10_2017))</f>
        <v/>
      </c>
      <c r="IE12" s="177" t="str">
        <f>IF(nomemp11="","",IF(aigua10_2018="","",aigua10_2018))</f>
        <v/>
      </c>
      <c r="IF12" s="177" t="str">
        <f>IF(nomemp11="","",IF(aigua10_2019="","",aigua10_2019))</f>
        <v/>
      </c>
      <c r="IG12" s="177" t="str">
        <f>IF(nomemp11="","",IF(aigua10_2020="","",aigua10_2020))</f>
        <v/>
      </c>
      <c r="IH12" s="177" t="str">
        <f>IF(nomemp11="","",IF(aigua10_2021="","",aigua10_2021))</f>
        <v/>
      </c>
      <c r="II12" s="177" t="str">
        <f>IF(nomemp11="","",IF(aigua10_2022="","",aigua10_2022))</f>
        <v/>
      </c>
      <c r="IJ12" s="177" t="str">
        <f>IF(nomemp11="","",IF(aigua10_2023="","",aigua10_2023))</f>
        <v/>
      </c>
      <c r="IK12" s="177" t="str">
        <f>IF(nomemp11="","",IF(energia10_2017="","",energia10_2017))</f>
        <v/>
      </c>
      <c r="IL12" s="177" t="str">
        <f>IF(nomemp11="","",IF(energia10_2017="","",energia10_2017))</f>
        <v/>
      </c>
      <c r="IM12" s="177" t="str">
        <f>IF(nomemp11="","",IF(energia10_2018="","",energia10_2018))</f>
        <v/>
      </c>
      <c r="IN12" s="177" t="str">
        <f>IF(nomemp11="","",IF(energia10_2019="","",energia10_2019))</f>
        <v/>
      </c>
      <c r="IO12" s="177" t="str">
        <f>IF(nomemp11="","",IF(energia10_2020="","",energia10_2020))</f>
        <v/>
      </c>
      <c r="IP12" s="177" t="str">
        <f>IF(nomemp11="","",IF(energia10_2021="","",energia10_2021))</f>
        <v/>
      </c>
      <c r="IQ12" s="177" t="str">
        <f>IF(nomemp11="","",IF(energia10_2022="","",energia10_2022))</f>
        <v/>
      </c>
      <c r="IR12" s="177" t="str">
        <f>IF(nomemp11="","",IF(energia10_2023="","",energia10_2023))</f>
        <v/>
      </c>
      <c r="IS12" s="177" t="str">
        <f>IF(nomemp11="","",IF(emissions10_2017="","",emissions10_2017))</f>
        <v/>
      </c>
      <c r="IT12" s="177" t="str">
        <f>IF(nomemp11="","",IF(emissions10_2017="","",emissions10_2017))</f>
        <v/>
      </c>
      <c r="IU12" s="177" t="str">
        <f>IF(nomemp11="","",IF(emissions10_2018="","",emissions10_2018))</f>
        <v/>
      </c>
      <c r="IV12" s="177" t="str">
        <f>IF(nomemp11="","",IF(emissions10_2019="","",emissions10_2019))</f>
        <v/>
      </c>
      <c r="IW12" s="177" t="str">
        <f>IF(nomemp11="","",IF(emissions10_2020="","",emissions10_2020))</f>
        <v/>
      </c>
      <c r="IX12" s="177" t="str">
        <f>IF(nomemp11="","",IF(emissions10_2021="","",emissions10_2021))</f>
        <v/>
      </c>
      <c r="IY12" s="177" t="str">
        <f>IF(nomemp11="","",IF(emissions10_2022="","",emissions10_2022))</f>
        <v/>
      </c>
      <c r="IZ12" s="177" t="str">
        <f>IF(nomemp11="","",IF(emissions10_2023="","",emissions10_2023))</f>
        <v/>
      </c>
      <c r="JA12" s="177" t="str">
        <f>IF(nomemp11="","",IF(residus10_2017="","",residus10_2017))</f>
        <v/>
      </c>
      <c r="JB12" s="177" t="str">
        <f>IF(nomemp11="","",IF(residus10_2017="","",residus10_2017))</f>
        <v/>
      </c>
      <c r="JC12" s="177" t="str">
        <f>IF(nomemp11="","",IF(residus10_2018="","",residus10_2018))</f>
        <v/>
      </c>
      <c r="JD12" s="177" t="str">
        <f>IF(nomemp11="","",IF(residus10_2019="","",residus10_2019))</f>
        <v/>
      </c>
      <c r="JE12" s="177" t="str">
        <f>IF(nomemp11="","",IF(residus10_2020="","",residus10_2020))</f>
        <v/>
      </c>
      <c r="JF12" s="177" t="str">
        <f>IF(nomemp11="","",IF(residus10_2021="","",residus10_2021))</f>
        <v/>
      </c>
      <c r="JG12" s="177" t="str">
        <f>IF(nomemp11="","",IF(residus10_2022="","",residus10_2022))</f>
        <v/>
      </c>
      <c r="JH12" s="177" t="str">
        <f>IF(nomemp11="","",IF(residus10_2023="","",residus10_2023))</f>
        <v/>
      </c>
      <c r="JJ12" s="38"/>
      <c r="JK12" s="38"/>
      <c r="JL12" s="38"/>
    </row>
    <row r="13" spans="1:272" s="177" customFormat="1" x14ac:dyDescent="0.25">
      <c r="A13" s="177" t="str">
        <f>IF(nomemp12="","",codiexp1)</f>
        <v/>
      </c>
      <c r="B13" s="177" t="str">
        <f>UPPER(IF(nomemp12=" ", " ",nomemp12))</f>
        <v/>
      </c>
      <c r="C13" s="177" t="str">
        <f>UPPER(IF(nif_12= " ", " ", nif_12))</f>
        <v/>
      </c>
      <c r="D13" s="177" t="str">
        <f>IF(nomemp12="", "",UPPER(IF(codiparticipant11="","",codiparticipant11)))</f>
        <v/>
      </c>
      <c r="E13" s="177" t="str">
        <f>IF(nomemp12="", "",IF(ajudes11_2016="", "",ajudes11_2016))</f>
        <v/>
      </c>
      <c r="F13" s="177" t="str">
        <f>IF(nomemp12="", "",IF(ajudes11_2017="", "",ajudes11_2017))</f>
        <v/>
      </c>
      <c r="G13" s="177" t="str">
        <f>IF(nomemp12="",  "",IF(ajudes11_2018="", "",ajudes11_2018))</f>
        <v/>
      </c>
      <c r="H13" s="177" t="str">
        <f>IF(nomemp12="", "",IF(ajudes11_2019="", "",ajudes11_2019))</f>
        <v/>
      </c>
      <c r="I13" s="177" t="str">
        <f>IF(nomemp12="", "",IF(ajudes11_2020="", "",ajudes11_2020))</f>
        <v/>
      </c>
      <c r="J13" s="177" t="str">
        <f>IF(nomemp12="", "",IF(ajudes11_2021="", "",ajudes11_2021))</f>
        <v/>
      </c>
      <c r="K13" s="177" t="str">
        <f>IF(nomemp12="", "",IF(ajudes11_2022="", "",ajudes11_2022))</f>
        <v/>
      </c>
      <c r="L13" s="177" t="str">
        <f>IF(nomemp12="", "",IF(ajudes11_2023="", "",ajudes11_2023))</f>
        <v/>
      </c>
      <c r="M13" s="177" t="str">
        <f>IF(nomemp12= " ", " ", IF(subvencions11_2016="","",subvencions11_2016))</f>
        <v/>
      </c>
      <c r="N13" s="177" t="str">
        <f>IF(nomemp12= " ", " ", IF(subvencions11_2017="","",subvencions11_2017))</f>
        <v/>
      </c>
      <c r="O13" s="177" t="str">
        <f>IF(nomemp12= " ", " ", IF(subvencions11_2018="","",subvencions11_2018))</f>
        <v/>
      </c>
      <c r="P13" s="177" t="str">
        <f>IF(nomemp12= " ", " ", IF(subvencions11_2019="","",subvencions11_2019))</f>
        <v/>
      </c>
      <c r="Q13" s="177" t="str">
        <f>IF(nomemp12= " ", " ", IF(subvencions11_2020="","",subvencions11_2020))</f>
        <v/>
      </c>
      <c r="R13" s="177" t="str">
        <f>IF(nomemp12= " ", " ", IF(subvencions11_2021="","",subvencions11_2021))</f>
        <v/>
      </c>
      <c r="S13" s="177" t="str">
        <f>IF(nomemp12= " ", " ", IF(subvencions11_2022="","",subvencions11_2022))</f>
        <v/>
      </c>
      <c r="T13" s="177" t="str">
        <f>IF(nomemp12= " ", " ", IF(subvencions11_2023="","",subvencions11_2023))</f>
        <v/>
      </c>
      <c r="U13" s="177" t="str">
        <f>IF(nomemp12= " ", "",IF(iprivadaipublica11_2016="","",iprivadaipublica11_2016))</f>
        <v/>
      </c>
      <c r="V13" s="177" t="str">
        <f>IF(nomemp12= " ", "",IF(iprivadaipublica11_2017="","",iprivadaipublica11_2017))</f>
        <v/>
      </c>
      <c r="W13" s="177" t="str">
        <f>IF(nomemp12= " ", "",IF(iprivadaipublica11_2018="","",iprivadaipublica11_2018))</f>
        <v/>
      </c>
      <c r="X13" s="177" t="str">
        <f>IF(nomemp12= " ", "",IF(iprivadaipublica11_2019="","",iprivadaipublica11_2019))</f>
        <v/>
      </c>
      <c r="Y13" s="177" t="str">
        <f>IF(nomemp12= " ", "",IF(iprivadaipublica11_2020="","",iprivadaipublica11_2020))</f>
        <v/>
      </c>
      <c r="Z13" s="177" t="str">
        <f>IF(nomemp12= " ", "",IF(iprivadaipublica11_2021="","",iprivadaipublica11_2021))</f>
        <v/>
      </c>
      <c r="AA13" s="177" t="str">
        <f>IF(nomemp12= " ", "",IF(iprivadaipublica11_2022="","",iprivadaipublica11_2022))</f>
        <v/>
      </c>
      <c r="AB13" s="177" t="str">
        <f>IF(nomemp12= " ", "",IF(iprivadaipublica11_2023="","",iprivadaipublica11_2023))</f>
        <v/>
      </c>
      <c r="AC13" s="177" t="str">
        <f>IF(nomemp12="","",IF(copera11_2016="","",copera11_2016))</f>
        <v/>
      </c>
      <c r="AD13" s="177" t="str">
        <f>IF(nomemp12="","",IF(copera11_2017="","",copera11_2017))</f>
        <v/>
      </c>
      <c r="AE13" s="177" t="str">
        <f>IF(nomemp12="","",IF(copera11_2018="","",copera11_2018))</f>
        <v/>
      </c>
      <c r="AF13" s="177" t="str">
        <f>IF(nomemp12="","",IF(copera11_2019="","",copera11_2019))</f>
        <v/>
      </c>
      <c r="AG13" s="177" t="str">
        <f>IF(nomemp12="","",IF(copera11_2020="","",copera11_2020))</f>
        <v/>
      </c>
      <c r="AH13" s="177" t="str">
        <f>IF(nomemp12="","",IF(copera11_2021="","",copera11_2021))</f>
        <v/>
      </c>
      <c r="AI13" s="177" t="str">
        <f>IF(nomemp12="","",IF(copera11_2022="","",copera11_2022))</f>
        <v/>
      </c>
      <c r="AJ13" s="177" t="str">
        <f>IF(nomemp12="","",IF(copera11_2023="","",copera11_2023))</f>
        <v/>
      </c>
      <c r="AK13" s="177" t="str">
        <f>IF(nomemp12="","",IF(investigadorshomes11_2016="","",investigadorshomes11_2016))</f>
        <v/>
      </c>
      <c r="AL13" s="177" t="str">
        <f>IF(nomemp12="","",IF(investigadorshomes11_2017="","",investigadorshomes11_2017))</f>
        <v/>
      </c>
      <c r="AM13" s="177" t="str">
        <f>IF(nomemp12="","",IF(investigadorshomes11_2018="","",investigadorshomes11_2018))</f>
        <v/>
      </c>
      <c r="AN13" s="177" t="str">
        <f>IF(nomemp12="","",IF(investigadorshomes11_2019="","",investigadorshomes11_2019))</f>
        <v/>
      </c>
      <c r="AO13" s="177" t="str">
        <f>IF(nomemp12="","",IF(investigadorshomes11_2020="","",investigadorshomes11_2020))</f>
        <v/>
      </c>
      <c r="AP13" s="177" t="str">
        <f>IF(nomemp12="","",IF(investigadorshomes11_2021="","",investigadorshomes11_2021))</f>
        <v/>
      </c>
      <c r="AQ13" s="177" t="str">
        <f>IF(nomemp12="","",IF(investigadorshomes11_2022="","",investigadorshomes11_2022))</f>
        <v/>
      </c>
      <c r="AR13" s="177" t="str">
        <f>IF(nomemp12="","",IF(investigadorshomes11_2023="","",investigadorshomes11_2023))</f>
        <v/>
      </c>
      <c r="AS13" s="177" t="str">
        <f>IF(nomemp12="","",IF(investigadorsdones11_2016= "","",investigadorsdones11_2016))</f>
        <v/>
      </c>
      <c r="AT13" s="177" t="str">
        <f>IF(nomemp12="","",IF(investigadorsdones11_2017= "","",investigadorsdones11_2017))</f>
        <v/>
      </c>
      <c r="AU13" s="177" t="str">
        <f>IF(nomemp12="","",IF(investigadorsdones11_2018= "","",investigadorsdones11_2018))</f>
        <v/>
      </c>
      <c r="AV13" s="177" t="str">
        <f>IF(nomemp12="","",IF(investigadorsdones11_2019= "","",investigadorsdones11_2019))</f>
        <v/>
      </c>
      <c r="AW13" s="177" t="str">
        <f>IF(nomemp12="","",IF(investigadorsdones11_2020= "","",investigadorsdones11_2020))</f>
        <v/>
      </c>
      <c r="AX13" s="177" t="str">
        <f>IF(nomemp12="","",IF(investigadorsdones11_2021= "","",investigadorsdones11_2021))</f>
        <v/>
      </c>
      <c r="AY13" s="177" t="str">
        <f>IF(nomemp12="","",IF(investigadorsdones11_2022= "","",investigadorsdones11_2022))</f>
        <v/>
      </c>
      <c r="AZ13" s="177" t="str">
        <f>IF(nomemp12="","",IF(investigadorsdones11_2023= "","",investigadorsdones11_2023))</f>
        <v/>
      </c>
      <c r="BA13" s="177" t="str">
        <f>IF(nomemp12=" ", " ",IF(investigadorstotal11_2016="","",investigadorstotal11_2016))</f>
        <v/>
      </c>
      <c r="BB13" s="177" t="str">
        <f>IF(nomemp12=" ", " ",IF(investigadorstotal11_2017="","",investigadorstotal11_2017))</f>
        <v/>
      </c>
      <c r="BC13" s="177" t="str">
        <f>IF(nomemp12=" ", " ",IF(investigadorstotal11_2018="","",investigadorstotal11_2018))</f>
        <v/>
      </c>
      <c r="BD13" s="177" t="str">
        <f>IF(nomemp12=" ", " ",IF(investigadorstotal11_2019="","",investigadorstotal11_2019))</f>
        <v/>
      </c>
      <c r="BE13" s="177" t="str">
        <f>IF(nomemp12=" ", " ",IF(investigadorstotal11_2020="","",investigadorstotal11_2020))</f>
        <v/>
      </c>
      <c r="BF13" s="177" t="str">
        <f>IF(nomemp12=" ", " ",IF(investigadorstotal11_2021="","",investigadorstotal11_2021))</f>
        <v/>
      </c>
      <c r="BG13" s="177" t="str">
        <f>IF(nomemp12=" ", " ",IF(investigadorstotal11_2022="","",investigadorstotal11_2022))</f>
        <v/>
      </c>
      <c r="BH13" s="177" t="str">
        <f>IF(nomemp12=" ", " ",IF(investigadorstotal11_2023="","",investigadorstotal11_2023))</f>
        <v/>
      </c>
      <c r="BI13" s="177" t="str">
        <f>IF(nomemp12=" ", " ",IF(certificacio11_2016="","",certificacio11_2016))</f>
        <v/>
      </c>
      <c r="BJ13" s="177" t="str">
        <f>IF(nomemp12=" ", " ",IF(certificacio11_2017="","",certificacio11_2017))</f>
        <v/>
      </c>
      <c r="BK13" s="177" t="str">
        <f>IF(nomemp12=" ", " ",IF(certificacio11_2018="","",certificacio11_2018))</f>
        <v/>
      </c>
      <c r="BL13" s="177" t="str">
        <f>IF(nomemp12=" "," ",IF(certificacio11_2019="","",certificacio11_2019))</f>
        <v/>
      </c>
      <c r="BM13" s="177" t="str">
        <f>IF(nomemp12=" ", " ",IF(certificacio11_2020="","",certificacio11_2020))</f>
        <v/>
      </c>
      <c r="BN13" s="177" t="str">
        <f>IF(nomemp12=" ", " ",IF(certificacio11_2021="","",certificacio11_2021))</f>
        <v/>
      </c>
      <c r="BO13" s="177" t="str">
        <f>IF(nomemp12=" ", " ",IF(certificacio11_2022="","",certificacio11_2022))</f>
        <v/>
      </c>
      <c r="BP13" s="177" t="str">
        <f>IF(nomemp12=" ", " ",IF(certificacio11_2023="","",certificacio11_2023))</f>
        <v/>
      </c>
      <c r="BQ13" s="177" t="str">
        <f>IF(nomemp12="","",IF(ipublica11_2016="","",ipublica11_2016))</f>
        <v/>
      </c>
      <c r="BR13" s="177" t="str">
        <f>IF(nomemp12="","",IF(ipublica11_2017="","",ipublica11_2017))</f>
        <v/>
      </c>
      <c r="BS13" s="177" t="str">
        <f>IF(nomemp12="","",IF(ipublica11_2018="","",ipublica11_2018))</f>
        <v/>
      </c>
      <c r="BT13" s="177" t="str">
        <f>IF(nomemp12="","",IF(ipublica11_2019="","",ipublica11_2019))</f>
        <v/>
      </c>
      <c r="BU13" s="177" t="str">
        <f>IF(nomemp12="","",IF(ipublica11_2020="","",ipublica11_2020))</f>
        <v/>
      </c>
      <c r="BV13" s="177" t="str">
        <f>IF(nomemp12="","",IF(ipublica11_2021="","",ipublica11_2021))</f>
        <v/>
      </c>
      <c r="BW13" s="177" t="str">
        <f>IF(nomemp12="","",IF(ipublica11_2022="","",ipublica11_2022))</f>
        <v/>
      </c>
      <c r="BX13" s="177" t="str">
        <f>IF(nomemp12="","",IF(ipublica11_2023="","",ipublica11_2023))</f>
        <v/>
      </c>
      <c r="BY13" s="177" t="str">
        <f>IF(nomemp12="","",IF(iprivada11_2016="","",iprivada11_2016))</f>
        <v/>
      </c>
      <c r="BZ13" s="177" t="str">
        <f>IF(nomemp12="","",IF(iprivada11_2017="","",iprivada11_2017))</f>
        <v/>
      </c>
      <c r="CA13" s="177" t="str">
        <f>IF(nomemp12="","",IF(iprivada11_2018="","",iprivada11_2018))</f>
        <v/>
      </c>
      <c r="CB13" s="177" t="str">
        <f>IF(nomemp12="","",IF(iprivada11_2019="","",iprivada11_2019))</f>
        <v/>
      </c>
      <c r="CC13" s="177" t="str">
        <f>IF(nomemp12="","",IF(iprivada11_2020="","",iprivada11_2020))</f>
        <v/>
      </c>
      <c r="CD13" s="177" t="str">
        <f>IF(nomemp12="","",IF(iprivada11_2021="","",iprivada11_2021))</f>
        <v/>
      </c>
      <c r="CE13" s="177" t="str">
        <f>IF(nomemp12="","",IF(iprivada11_2022="","",iprivada11_2022))</f>
        <v/>
      </c>
      <c r="CF13" s="177" t="str">
        <f>IF(nomemp12="","",IF(iprivada11_2023="","",iprivada11_2023))</f>
        <v/>
      </c>
      <c r="CG13" s="177" t="str">
        <f>IF(nomemp12="","",IF(investigadorstotalprojecte11_2016="","",investigadorstotalprojecte11_2016))</f>
        <v/>
      </c>
      <c r="CH13" s="177" t="str">
        <f>IF(nomemp12="","",IF(investigadorstotalprojecte11_2017="","",investigadorstotalprojecte11_2017))</f>
        <v/>
      </c>
      <c r="CI13" s="177" t="str">
        <f>IF(nomemp12="","",IF(investigadorstotalprojecte11_2018="","",investigadorstotalprojecte11_2018))</f>
        <v/>
      </c>
      <c r="CJ13" s="177" t="str">
        <f>IF(nomemp12="","",IF(investigadorstotalprojecte11_2019="","",investigadorstotalprojecte11_2019))</f>
        <v/>
      </c>
      <c r="CK13" s="177" t="str">
        <f>IF(nomemp12="","",IF(investigadorstotalprojecte11_2020="","",investigadorstotalprojecte11_2020))</f>
        <v/>
      </c>
      <c r="CL13" s="177" t="str">
        <f>IF(nomemp12="","",IF(investigadorstotalprojecte11_2021="","",investigadorstotalprojecte11_2021))</f>
        <v/>
      </c>
      <c r="CM13" s="177" t="str">
        <f>IF(nomemp12="","",IF(investigadorstotalprojecte11_2022="","",investigadorstotalprojecte11_2022))</f>
        <v/>
      </c>
      <c r="CN13" s="177" t="str">
        <f>IF(nomemp12="","",IF(investigadorstotalprojecte11_2023="","",investigadorstotalprojecte11_2023))</f>
        <v/>
      </c>
      <c r="CO13" s="177" t="str">
        <f>IF(nomemp12="","",IF(investigadorshomesprojecte11_2016="","",investigadorshomesprojecte11_2016))</f>
        <v/>
      </c>
      <c r="CP13" s="177" t="str">
        <f>IF(nomemp12="","",IF(investigadorshomesprojecte11_2017="","",investigadorshomesprojecte11_2017))</f>
        <v/>
      </c>
      <c r="CQ13" s="177" t="str">
        <f>IF(nomemp12="","",IF(investigadorshomesprojecte11_2018="","",investigadorshomesprojecte11_2018))</f>
        <v/>
      </c>
      <c r="CR13" s="177" t="str">
        <f>IF(nomemp12="","",IF(investigadorshomesprojecte11_2019="","",investigadorshomesprojecte11_2019))</f>
        <v/>
      </c>
      <c r="CS13" s="177" t="str">
        <f>IF(nomemp12="","",IF(investigadorshomesprojecte11_2020="","",investigadorshomesprojecte11_2020))</f>
        <v/>
      </c>
      <c r="CT13" s="177" t="str">
        <f>IF(nomemp12="","",IF(investigadorshomesprojecte11_2021="","",investigadorshomesprojecte11_2021))</f>
        <v/>
      </c>
      <c r="CU13" s="177" t="str">
        <f>IF(nomemp12="","",IF(investigadorshomesprojecte11_2022="","",investigadorshomesprojecte11_2022))</f>
        <v/>
      </c>
      <c r="CV13" s="177" t="str">
        <f>IF(nomemp12="","",IF(investigadorshomesprojecte11_2023="","",investigadorshomesprojecte11_2023))</f>
        <v/>
      </c>
      <c r="CW13" s="177" t="str">
        <f>IF(nomemp12="","",IF(investigadorsdonesprojecte11_2016="","",investigadorsdonesprojecte11_2016))</f>
        <v/>
      </c>
      <c r="CX13" s="177" t="str">
        <f>IF(nomemp12="","",IF(investigadorsdonesprojecte11_2017="","",investigadorsdonesprojecte11_2017))</f>
        <v/>
      </c>
      <c r="CY13" s="177" t="str">
        <f>IF(nomemp12="","",IF(investigadorsdonesprojecte11_2018="","",investigadorsdonesprojecte11_2018))</f>
        <v/>
      </c>
      <c r="CZ13" s="177" t="str">
        <f>IF(nomemp12="","",IF(investigadorsdonesprojecte11_2019="","",investigadorsdonesprojecte11_2019))</f>
        <v/>
      </c>
      <c r="DA13" s="177" t="str">
        <f>IF(nomemp12="","",IF(investigadorsdonesprojecte11_2020="","",investigadorsdonesprojecte11_2020))</f>
        <v/>
      </c>
      <c r="DB13" s="177" t="str">
        <f>IF(nomemp12="","",IF(investigadorsdonesprojecte11_2021="","",investigadorsdonesprojecte11_2021))</f>
        <v/>
      </c>
      <c r="DC13" s="177" t="str">
        <f>IF(nomemp12="","",IF(investigadorsdonesprojecte11_2022="","",investigadorsdonesprojecte11_2022))</f>
        <v/>
      </c>
      <c r="DD13" s="177" t="str">
        <f>IF(nomemp12="","",IF(investigadorsdonesprojecte11_2023="","",investigadorsdonesprojecte11_2023))</f>
        <v/>
      </c>
      <c r="DE13" s="177" t="str">
        <f>IF(nomemp12="","",IF(empresesprivades11_2017="","",empresesprivades11_2017))</f>
        <v/>
      </c>
      <c r="DF13" s="177" t="str">
        <f>IF(nomemp12="","",IF(empresesprivades11_2017="","",empresesprivades11_2017))</f>
        <v/>
      </c>
      <c r="DG13" s="177" t="str">
        <f>IF(nomemp12="","",IF(empresesprivades11_2018="","",empresesprivades11_2018))</f>
        <v/>
      </c>
      <c r="DH13" s="177" t="str">
        <f>IF(nomemp12="","",IF(empresesprivades11_2019="","",empresesprivades11_2019))</f>
        <v/>
      </c>
      <c r="DI13" s="177" t="str">
        <f>IF(nomemp12="","",IF(empresesprivades11_2020="","",empresesprivades11_2020))</f>
        <v/>
      </c>
      <c r="DJ13" s="177" t="str">
        <f>IF(nomemp12="","",IF(empresesprivades11_2021="","",empresesprivades11_2021))</f>
        <v/>
      </c>
      <c r="DK13" s="177" t="str">
        <f>IF(nomemp12="","",IF(empresesprivades11_2022="","",empresesprivades11_2022))</f>
        <v/>
      </c>
      <c r="DL13" s="177" t="str">
        <f>IF(nomemp12="","",IF(empresesprivades11_2023="","",empresesprivades11_2023))</f>
        <v/>
      </c>
      <c r="DM13" s="177" t="str">
        <f>IF(nomemp12="","",IF(empresespubliques11_2017="","",empresespubliques11_2017))</f>
        <v/>
      </c>
      <c r="DN13" s="177" t="str">
        <f>IF(nomemp12="","",IF(empresespubliques11_2017="","",empresespubliques11_2017))</f>
        <v/>
      </c>
      <c r="DO13" s="177" t="str">
        <f>IF(nomemp12="","",IF(empresespubliques11_2018="","",empresespubliques11_2018))</f>
        <v/>
      </c>
      <c r="DP13" s="177" t="str">
        <f>IF(nomemp12="","",IF(empresespubliques11_2019="","",empresespubliques11_2019))</f>
        <v/>
      </c>
      <c r="DQ13" s="177" t="str">
        <f>IF(nomemp12="","",IF(empresespubliques11_2020="","",empresespubliques11_2020))</f>
        <v/>
      </c>
      <c r="DR13" s="177" t="str">
        <f>IF(nomemp12="","",IF(empresespubliques11_2021="","",empresespubliques11_2021))</f>
        <v/>
      </c>
      <c r="DS13" s="177" t="str">
        <f>IF(nomemp12="","",IF(empresespubliques11_2022="","",empresespubliques11_2022))</f>
        <v/>
      </c>
      <c r="DT13" s="177" t="str">
        <f>IF(nomemp12="","",IF(empresespubliques11_2023="","",empresespubliques11_2023))</f>
        <v/>
      </c>
      <c r="DU13" s="177" t="str">
        <f>IF(nomemp12="","",IF(centrestecnologics11_2017="","",centrestecnologics11_2017))</f>
        <v/>
      </c>
      <c r="DV13" s="177" t="str">
        <f>IF(nomemp12="","",IF(centrestecnologics11_2017="","",centrestecnologics11_2017))</f>
        <v/>
      </c>
      <c r="DW13" s="177" t="str">
        <f>IF(nomemp12="","",IF(centrestecnologics11_2018="","",centrestecnologics11_2018))</f>
        <v/>
      </c>
      <c r="DX13" s="177" t="str">
        <f>IF(nomemp12="","",IF(centrestecnologics11_2019="","",centrestecnologics11_2019))</f>
        <v/>
      </c>
      <c r="DY13" s="177" t="str">
        <f>IF(nomemp12="","",IF(centrestecnologics11_2020="","",centrestecnologics11_2020))</f>
        <v/>
      </c>
      <c r="DZ13" s="177" t="str">
        <f>IF(nomemp12="","",IF(centrestecnologics11_2021="","",centrestecnologics11_2021))</f>
        <v/>
      </c>
      <c r="EA13" s="177" t="str">
        <f>IF(nomemp12="","",IF(centrestecnologics11_2022="","",centrestecnologics11_2022))</f>
        <v/>
      </c>
      <c r="EB13" s="177" t="str">
        <f>IF(nomemp12="","",IF(centrestecnologics11_2023="","",centrestecnologics11_2023))</f>
        <v/>
      </c>
      <c r="EC13" s="177" t="str">
        <f>IF(nomemp12="","",IF(universitats11_2017="","",universitats11_2017))</f>
        <v/>
      </c>
      <c r="ED13" s="177" t="str">
        <f>IF(nomemp12="","",IF(universitats11_2017="","",universitats11_2017))</f>
        <v/>
      </c>
      <c r="EE13" s="177" t="str">
        <f>IF(nomemp12="","",IF(universitats11_2018="","",universitats11_2018))</f>
        <v/>
      </c>
      <c r="EF13" s="177" t="str">
        <f>IF(nomemp12="","",IF(universitats11_2019="","",universitats11_2019))</f>
        <v/>
      </c>
      <c r="EG13" s="177" t="str">
        <f>IF(nomemp12="","",IF(universitats11_2020="","",universitats11_2020))</f>
        <v/>
      </c>
      <c r="EH13" s="177" t="str">
        <f>IF(nomemp12="","",IF(universitats11_2021="","",universitats11_2021))</f>
        <v/>
      </c>
      <c r="EI13" s="177" t="str">
        <f>IF(nomemp12="","",IF(universitats11_2022="","",universitats11_2022))</f>
        <v/>
      </c>
      <c r="EJ13" s="177" t="str">
        <f>IF(nomemp12="","",IF(universitats11_2023="","",universitats11_2023))</f>
        <v/>
      </c>
      <c r="EK13" s="177" t="str">
        <f>IF(nomemp12="","",IF(centresrecerca11_2017="","",centresrecerca11_2017))</f>
        <v/>
      </c>
      <c r="EL13" s="177" t="str">
        <f>IF(nomemp12="","",IF(centresrecerca11_2017="","",centresrecerca11_2017))</f>
        <v/>
      </c>
      <c r="EM13" s="177" t="str">
        <f>IF(nomemp12="","",IF(centresrecerca11_2018="","",centresrecerca11_2018))</f>
        <v/>
      </c>
      <c r="EN13" s="177" t="str">
        <f>IF(nomemp12="","",IF(centresrecerca11_2019="","",centresrecerca11_2019))</f>
        <v/>
      </c>
      <c r="EO13" s="177" t="str">
        <f>IF(nomemp12="","",IF(centresrecerca11_2020="","",centresrecerca11_2020))</f>
        <v/>
      </c>
      <c r="EP13" s="177" t="str">
        <f>IF(nomemp12="","",IF(centresrecerca11_2021="","",centresrecerca11_2021))</f>
        <v/>
      </c>
      <c r="EQ13" s="177" t="str">
        <f>IF(nomemp12="","",IF(centresrecerca11_2022="","",centresrecerca11_2022))</f>
        <v/>
      </c>
      <c r="ER13" s="177" t="str">
        <f>IF(nomemp12="","",IF(centresrecerca11_2023="","",centresrecerca11_2023))</f>
        <v/>
      </c>
      <c r="ES13" s="177" t="str">
        <f>IF(nomemp12="","",IF(infraestructures11_2017="","",infraestructures11_2017))</f>
        <v/>
      </c>
      <c r="ET13" s="177" t="str">
        <f>IF(nomemp12="","",IF(infraestructures11_2017="","",infraestructures11_2017))</f>
        <v/>
      </c>
      <c r="EU13" s="177" t="str">
        <f>IF(nomemp12="","",IF(infraestructures11_2018="","",infraestructures11_2018))</f>
        <v/>
      </c>
      <c r="EV13" s="177" t="str">
        <f>IF(nomemp12="","",IF(infraestructures11_2019="","",infraestructures11_2019))</f>
        <v/>
      </c>
      <c r="EW13" s="177" t="str">
        <f>IF(nomemp12="","",IF(infraestructures11_2020="","",infraestructures11_2020))</f>
        <v/>
      </c>
      <c r="EX13" s="177" t="str">
        <f>IF(nomemp12="","",IF(infraestructures11_2021="","",infraestructures11_2021))</f>
        <v/>
      </c>
      <c r="EY13" s="177" t="str">
        <f>IF(nomemp12="","",IF(infraestructures11_2022="","",infraestructures11_2022))</f>
        <v/>
      </c>
      <c r="EZ13" s="177" t="str">
        <f>IF(nomemp12="","",IF(infraestructures11_2023="","",infraestructures11_2023))</f>
        <v/>
      </c>
      <c r="FA13" s="177" t="str">
        <f>IF(nomemp12="","",IF(spinoff11_2017="","",spinoff11_2017))</f>
        <v/>
      </c>
      <c r="FB13" s="177" t="str">
        <f>IF(nomemp12="","",IF(spinoff11_2017="","",spinoff11_2017))</f>
        <v/>
      </c>
      <c r="FC13" s="177" t="str">
        <f>IF(nomemp12="","",IF(spinoff11_2018="","",spinoff11_2018))</f>
        <v/>
      </c>
      <c r="FD13" s="177" t="str">
        <f>IF(nomemp12="","",IF(spinoff11_2019="","",spinoff11_2019))</f>
        <v/>
      </c>
      <c r="FE13" s="177" t="str">
        <f>IF(nomemp12="","",IF(spinoff11_2020="","",spinoff11_2020))</f>
        <v/>
      </c>
      <c r="FF13" s="177" t="str">
        <f>IF(nomemp12="","",IF(spinoff11_2021="","",spinoff11_2021))</f>
        <v/>
      </c>
      <c r="FG13" s="177" t="str">
        <f>IF(nomemp12="","",IF(spinoff11_2022="","",spinoff11_2022))</f>
        <v/>
      </c>
      <c r="FH13" s="177" t="str">
        <f>IF(nomemp12="","",IF(spinoff11_2023="","",spinoff11_2023))</f>
        <v/>
      </c>
      <c r="FI13" s="177" t="str">
        <f>IF(nomemp12="","",IF(patents11_2017="","",patents11_2017))</f>
        <v/>
      </c>
      <c r="FJ13" s="177" t="str">
        <f>IF(nomemp12="","",IF(patents11_2017="","",patents11_2017))</f>
        <v/>
      </c>
      <c r="FK13" s="177" t="str">
        <f>IF(nomemp12="","",IF(patents11_2018="","",patents11_2018))</f>
        <v/>
      </c>
      <c r="FL13" s="177" t="str">
        <f>IF(nomemp12="","",IF(patents11_2019="","",patents11_2019))</f>
        <v/>
      </c>
      <c r="FM13" s="177" t="str">
        <f>IF(nomemp12="","",IF(patents11_2020="","",patents11_2020))</f>
        <v/>
      </c>
      <c r="FN13" s="177" t="str">
        <f>IF(nomemp12="","",IF(patents11_2021="","",patents11_2021))</f>
        <v/>
      </c>
      <c r="FO13" s="177" t="str">
        <f>IF(nomemp12="","",IF(patents11_2022="","",patents11_2022))</f>
        <v/>
      </c>
      <c r="FP13" s="177" t="str">
        <f>IF(nomemp12="","",IF(patents11_2023="","",patents11_2023))</f>
        <v/>
      </c>
      <c r="FQ13" s="177" t="str">
        <f>IF(nomemp12="","",IF(marques11_2017="","",marques11_2017))</f>
        <v/>
      </c>
      <c r="FR13" s="177" t="str">
        <f>IF(nomemp12="","",IF(marques11_2017="","",marques11_2017))</f>
        <v/>
      </c>
      <c r="FS13" s="177" t="str">
        <f>IF(nomemp12="","",IF(marques11_2018="","",marques11_2018))</f>
        <v/>
      </c>
      <c r="FT13" s="177" t="str">
        <f>IF(nomemp12="","",IF(marques11_2019="","",marques11_2019))</f>
        <v/>
      </c>
      <c r="FU13" s="177" t="str">
        <f>IF(nomemp12="","",IF(marques11_2020="","",marques11_2020))</f>
        <v/>
      </c>
      <c r="FV13" s="177" t="str">
        <f>IF(nomemp12="","",IF(marques11_2021="","",marques11_2021))</f>
        <v/>
      </c>
      <c r="FW13" s="177" t="str">
        <f>IF(nomemp12="","",IF(marques11_2022="","",marques11_2022))</f>
        <v/>
      </c>
      <c r="FX13" s="177" t="str">
        <f>IF(nomemp12="","",IF(marques11_2023="","",marques11_2023))</f>
        <v/>
      </c>
      <c r="FY13" s="177" t="str">
        <f>IF(nomemp12="","",IF(innoven11_2017="","",innoven11_2017))</f>
        <v/>
      </c>
      <c r="FZ13" s="177" t="str">
        <f>IF(nomemp12="","",IF(innoven11_2017="","",innoven11_2017))</f>
        <v/>
      </c>
      <c r="GA13" s="177" t="str">
        <f>IF(nomemp12="","",IF(innoven11_2018="","",innoven11_2018))</f>
        <v/>
      </c>
      <c r="GB13" s="177" t="str">
        <f>IF(nomemp12="","",IF(innoven11_2019="","",innoven11_2019))</f>
        <v/>
      </c>
      <c r="GC13" s="177" t="str">
        <f>IF(nomemp12="","",IF(innoven11_2020="","",innoven11_2020))</f>
        <v/>
      </c>
      <c r="GD13" s="177" t="str">
        <f>IF(nomemp12="","",IF(innoven11_2021="","",innoven11_2021))</f>
        <v/>
      </c>
      <c r="GE13" s="177" t="str">
        <f>IF(nomemp12="","",IF(innoven11_2022="","",innoven11_2022))</f>
        <v/>
      </c>
      <c r="GF13" s="177" t="str">
        <f>IF(nomemp12="","",IF(innoven11_2023="","",innoven11_2023))</f>
        <v/>
      </c>
      <c r="GG13" s="177" t="str">
        <f>IF(nomemp12="","",IF(llocsdetreball11_2017="","",llocsdetreball11_2017))</f>
        <v/>
      </c>
      <c r="GH13" s="177" t="str">
        <f>IF(nomemp12="","",IF(llocsdetreball11_2017="","",llocsdetreball11_2017))</f>
        <v/>
      </c>
      <c r="GI13" s="177" t="str">
        <f>IF(nomemp12="","",IF(llocsdetreball11_2018="","",llocsdetreball11_2018))</f>
        <v/>
      </c>
      <c r="GJ13" s="177" t="str">
        <f>IF(nomemp12="","",IF(llocsdetreball11_2019="","",llocsdetreball11_2019))</f>
        <v/>
      </c>
      <c r="GK13" s="177" t="str">
        <f>IF(nomemp12="","",IF(llocsdetreball11_2020="","",llocsdetreball11_2020))</f>
        <v/>
      </c>
      <c r="GL13" s="177" t="str">
        <f>IF(nomemp12="","",IF(llocsdetreball11_2021="","",llocsdetreball11_2021))</f>
        <v/>
      </c>
      <c r="GM13" s="177" t="str">
        <f>IF(nomemp12="","",IF(llocsdetreball11_2022="","",llocsdetreball11_2022))</f>
        <v/>
      </c>
      <c r="GN13" s="177" t="str">
        <f>IF(nomemp12="","",IF(llocsdetreball11_2023="","",llocsdetreball11_2023))</f>
        <v/>
      </c>
      <c r="GO13" s="177" t="str">
        <f>IF(nomemp12="","",IF(formacio11_2017="","",formacio11_2017))</f>
        <v/>
      </c>
      <c r="GP13" s="177" t="str">
        <f>IF(nomemp12="","",IF(formacio11_2017="","",formacio11_2017))</f>
        <v/>
      </c>
      <c r="GQ13" s="177" t="str">
        <f>IF(nomemp12="","",IF(formacio11_2018="","",formacio11_2018))</f>
        <v/>
      </c>
      <c r="GR13" s="177" t="str">
        <f>IF(nomemp12="","",IF(formacio11_2019="","",formacio11_2019))</f>
        <v/>
      </c>
      <c r="GS13" s="177" t="str">
        <f>IF(nomemp12="","",IF(formacio11_2020="","",formacio11_2020))</f>
        <v/>
      </c>
      <c r="GT13" s="177" t="str">
        <f>IF(nomemp12="","",IF(formacio11_2021="","",formacio11_2021))</f>
        <v/>
      </c>
      <c r="GU13" s="177" t="str">
        <f>IF(nomemp12="","",IF(formacio11_2022="","",formacio11_2022))</f>
        <v/>
      </c>
      <c r="GV13" s="177" t="str">
        <f>IF(nomemp12="","",IF(formacio11_2023="","",formacio11_2023))</f>
        <v/>
      </c>
      <c r="GW13" s="177" t="str">
        <f>IF(nomemp12="","",IF(ingressos11_2017="","",ingressos11_2017))</f>
        <v/>
      </c>
      <c r="GX13" s="177" t="str">
        <f>IF(nomemp12="","",IF(ingressos11_2017="","",ingressos11_2017))</f>
        <v/>
      </c>
      <c r="GY13" s="177" t="str">
        <f>IF(nomemp12="","",IF(ingressos11_2018="","",ingressos11_2018))</f>
        <v/>
      </c>
      <c r="GZ13" s="177" t="str">
        <f>IF(nomemp12="","",IF(ingressos11_2019="","",ingressos11_2019))</f>
        <v/>
      </c>
      <c r="HA13" s="177" t="str">
        <f>IF(nomemp12="","",IF(ingressos11_2020="","",ingressos11_2020))</f>
        <v/>
      </c>
      <c r="HB13" s="177" t="str">
        <f>IF(nomemp12="","",IF(ingressos11_2021="","",ingressos11_2021))</f>
        <v/>
      </c>
      <c r="HC13" s="177" t="str">
        <f>IF(nomemp12="","",IF(ingressos11_2022="","",ingressos11_2022))</f>
        <v/>
      </c>
      <c r="HD13" s="177" t="str">
        <f>IF(nomemp12="","",IF(ingressos11_2023="","",ingressos11_2023))</f>
        <v/>
      </c>
      <c r="HE13" s="177" t="str">
        <f>IF(nomemp12="","",IF(exportacions11_2017="","",exportacions11_2017))</f>
        <v/>
      </c>
      <c r="HF13" s="177" t="str">
        <f>IF(nomemp12="","",IF(exportacions11_2017="","",exportacions11_2017))</f>
        <v/>
      </c>
      <c r="HG13" s="177" t="str">
        <f>IF(nomemp12="","",IF(exportacions11_2018="","",exportacions11_2018))</f>
        <v/>
      </c>
      <c r="HH13" s="177" t="str">
        <f>IF(nomemp12="","",IF(exportacions11_2019="","",exportacions11_2019))</f>
        <v/>
      </c>
      <c r="HI13" s="177" t="str">
        <f>IF(nomemp12="","",IF(exportacions11_2020="","",exportacions11_2020))</f>
        <v/>
      </c>
      <c r="HJ13" s="177" t="str">
        <f>IF(nomemp12="","",IF(exportacions11_2021="","",exportacions11_2021))</f>
        <v/>
      </c>
      <c r="HK13" s="177" t="str">
        <f>IF(nomemp12="","",IF(exportacions11_2022="","",exportacions11_2022))</f>
        <v/>
      </c>
      <c r="HL13" s="177" t="str">
        <f>IF(nomemp12="","",IF(exportacions11_2023="","",exportacions11_2023))</f>
        <v/>
      </c>
      <c r="HM13" s="177" t="str">
        <f>IF(nomemp12="","",IF(oportunitats11_2017="","",oportunitats11_2017))</f>
        <v/>
      </c>
      <c r="HN13" s="177" t="str">
        <f>IF(nomemp12="","",IF(oportunitats11_2017="","",oportunitats11_2017))</f>
        <v/>
      </c>
      <c r="HO13" s="177" t="str">
        <f>IF(nomemp12="","",IF(oportunitats11_2018="","",oportunitats11_2018))</f>
        <v/>
      </c>
      <c r="HP13" s="177" t="str">
        <f>IF(nomemp12="","",IF(oportunitats11_2019="","",oportunitats11_2019))</f>
        <v/>
      </c>
      <c r="HQ13" s="177" t="str">
        <f>IF(nomemp12="","",IF(oportunitats11_2020="","",oportunitats11_2020))</f>
        <v/>
      </c>
      <c r="HR13" s="177" t="str">
        <f>IF(nomemp12="","",IF(oportunitats11_2021="","",oportunitats11_2021))</f>
        <v/>
      </c>
      <c r="HS13" s="177" t="str">
        <f>IF(nomemp12="","",IF(oportunitats11_2022="","",oportunitats11_2022))</f>
        <v/>
      </c>
      <c r="HT13" s="177" t="str">
        <f>IF(nomemp12="","",IF(oportunitats11_2023="","",oportunitats11_2023))</f>
        <v/>
      </c>
      <c r="HU13" s="177" t="str">
        <f>IF(nomemp12="","",IF(productivitat11_2017="","",productivitat11_2017))</f>
        <v/>
      </c>
      <c r="HV13" s="177" t="str">
        <f>IF(nomemp12="","",IF(productivitat11_2017="","",productivitat11_2017))</f>
        <v/>
      </c>
      <c r="HW13" s="177" t="str">
        <f>IF(nomemp12="","",IF(productivitat11_2018="","",productivitat11_2018))</f>
        <v/>
      </c>
      <c r="HX13" s="177" t="str">
        <f>IF(nomemp12="","",IF(productivitat11_2019="","",productivitat11_2019))</f>
        <v/>
      </c>
      <c r="HY13" s="177" t="str">
        <f>IF(nomemp12="","",IF(productivitat11_2020="","",productivitat11_2020))</f>
        <v/>
      </c>
      <c r="HZ13" s="177" t="str">
        <f>IF(nomemp12="","",IF(productivitat11_2021="","",productivitat11_2021))</f>
        <v/>
      </c>
      <c r="IA13" s="177" t="str">
        <f>IF(nomemp12="","",IF(productivitat11_2022="","",productivitat11_2022))</f>
        <v/>
      </c>
      <c r="IB13" s="177" t="str">
        <f>IF(nomemp12="","",IF(productivitat11_2023="","",productivitat11_2023))</f>
        <v/>
      </c>
      <c r="IC13" s="177" t="str">
        <f>IF(nomemp12="","",IF(aigua11_2017="","",aigua11_2017))</f>
        <v/>
      </c>
      <c r="ID13" s="177" t="str">
        <f>IF(nomemp12="","",IF(aigua11_2017="","",aigua11_2017))</f>
        <v/>
      </c>
      <c r="IE13" s="177" t="str">
        <f>IF(nomemp12="","",IF(aigua11_2018="","",aigua11_2018))</f>
        <v/>
      </c>
      <c r="IF13" s="177" t="str">
        <f>IF(nomemp12="","",IF(aigua11_2019="","",aigua11_2019))</f>
        <v/>
      </c>
      <c r="IG13" s="177" t="str">
        <f>IF(nomemp12="","",IF(aigua11_2020="","",aigua11_2020))</f>
        <v/>
      </c>
      <c r="IH13" s="177" t="str">
        <f>IF(nomemp12="","",IF(aigua11_2021="","",aigua11_2021))</f>
        <v/>
      </c>
      <c r="II13" s="177" t="str">
        <f>IF(nomemp12="","",IF(aigua11_2022="","",aigua11_2022))</f>
        <v/>
      </c>
      <c r="IJ13" s="177" t="str">
        <f>IF(nomemp12="","",IF(aigua11_2023="","",aigua11_2023))</f>
        <v/>
      </c>
      <c r="IK13" s="177" t="str">
        <f>IF(nomemp12="","",IF(energia11_2017="","",energia11_2017))</f>
        <v/>
      </c>
      <c r="IL13" s="177" t="str">
        <f>IF(nomemp12="","",IF(energia11_2017="","",energia11_2017))</f>
        <v/>
      </c>
      <c r="IM13" s="177" t="str">
        <f>IF(nomemp12="","",IF(energia11_2018="","",energia11_2018))</f>
        <v/>
      </c>
      <c r="IN13" s="177" t="str">
        <f>IF(nomemp12="","",IF(energia11_2019="","",energia11_2019))</f>
        <v/>
      </c>
      <c r="IO13" s="177" t="str">
        <f>IF(nomemp12="","",IF(energia11_2020="","",energia11_2020))</f>
        <v/>
      </c>
      <c r="IP13" s="177" t="str">
        <f>IF(nomemp12="","",IF(energia11_2021="","",energia11_2021))</f>
        <v/>
      </c>
      <c r="IQ13" s="177" t="str">
        <f>IF(nomemp12="","",IF(energia11_2022="","",energia11_2022))</f>
        <v/>
      </c>
      <c r="IR13" s="177" t="str">
        <f>IF(nomemp12="","",IF(energia11_2023="","",energia11_2023))</f>
        <v/>
      </c>
      <c r="IS13" s="177" t="str">
        <f>IF(nomemp12="","",IF(emissions11_2017="","",emissions11_2017))</f>
        <v/>
      </c>
      <c r="IT13" s="177" t="str">
        <f>IF(nomemp12="","",IF(emissions11_2017="","",emissions11_2017))</f>
        <v/>
      </c>
      <c r="IU13" s="177" t="str">
        <f>IF(nomemp12="","",IF(emissions11_2018="","",emissions11_2018))</f>
        <v/>
      </c>
      <c r="IV13" s="177" t="str">
        <f>IF(nomemp12="","",IF(emissions11_2019="","",emissions11_2019))</f>
        <v/>
      </c>
      <c r="IW13" s="177" t="str">
        <f>IF(nomemp12="","",IF(emissions11_2020="","",emissions11_2020))</f>
        <v/>
      </c>
      <c r="IX13" s="177" t="str">
        <f>IF(nomemp12="","",IF(emissions11_2021="","",emissions11_2021))</f>
        <v/>
      </c>
      <c r="IY13" s="177" t="str">
        <f>IF(nomemp12="","",IF(emissions11_2022="","",emissions11_2022))</f>
        <v/>
      </c>
      <c r="IZ13" s="177" t="str">
        <f>IF(nomemp12="","",IF(emissions11_2023="","",emissions11_2023))</f>
        <v/>
      </c>
      <c r="JA13" s="177" t="str">
        <f>IF(nomemp12="","",IF(residus11_2017="","",residus11_2017))</f>
        <v/>
      </c>
      <c r="JB13" s="177" t="str">
        <f>IF(nomemp12="","",IF(residus11_2017="","",residus11_2017))</f>
        <v/>
      </c>
      <c r="JC13" s="177" t="str">
        <f>IF(nomemp12="","",IF(residus11_2018="","",residus11_2018))</f>
        <v/>
      </c>
      <c r="JD13" s="177" t="str">
        <f>IF(nomemp12="","",IF(residus11_2019="","",residus11_2019))</f>
        <v/>
      </c>
      <c r="JE13" s="177" t="str">
        <f>IF(nomemp12="","",IF(residus11_2020="","",residus11_2020))</f>
        <v/>
      </c>
      <c r="JF13" s="177" t="str">
        <f>IF(nomemp12="","",IF(residus11_2021="","",residus11_2021))</f>
        <v/>
      </c>
      <c r="JG13" s="177" t="str">
        <f>IF(nomemp12="","",IF(residus11_2022="","",residus11_2022))</f>
        <v/>
      </c>
      <c r="JH13" s="177" t="str">
        <f>IF(nomemp12="","",IF(residus11_2023="","",residus11_2023))</f>
        <v/>
      </c>
      <c r="JJ13" s="38"/>
      <c r="JK13" s="38"/>
      <c r="JL13" s="38"/>
    </row>
    <row r="14" spans="1:272" s="177" customFormat="1" x14ac:dyDescent="0.25">
      <c r="N14" s="38"/>
      <c r="O14" s="38"/>
      <c r="P14" s="38"/>
      <c r="Q14" s="38"/>
      <c r="R14" s="38"/>
      <c r="S14" s="38"/>
      <c r="T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</row>
  </sheetData>
  <sheetProtection algorithmName="SHA-512" hashValue="l+GIBhiRSdFdGkult9FBhAcz/Hhp6iV8YWu5jcRIkQ7rcYMH/AhBVQ+svlIQcS0uUIMZPq5cITO1nHGxKqp+mA==" saltValue="Op7ezDg9gk6W+TfGeplnYw==" spinCount="100000" sheet="1" objects="1" scenarios="1"/>
  <customSheetViews>
    <customSheetView guid="{EDFE284D-223A-49E7-8396-C31999A2537B}">
      <selection activeCell="K7" sqref="K7"/>
      <pageMargins left="0.7" right="0.7" top="0.75" bottom="0.75" header="0.3" footer="0.3"/>
      <pageSetup paperSize="9" orientation="portrait" r:id="rId1"/>
    </customSheetView>
  </customSheetViews>
  <phoneticPr fontId="17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56"/>
  <sheetViews>
    <sheetView topLeftCell="C6" zoomScale="70" zoomScaleNormal="70" workbookViewId="0">
      <selection activeCell="G24" sqref="G24:G25"/>
    </sheetView>
  </sheetViews>
  <sheetFormatPr defaultColWidth="11.42578125" defaultRowHeight="15" x14ac:dyDescent="0.25"/>
  <cols>
    <col min="1" max="1" width="17.140625" customWidth="1"/>
    <col min="2" max="2" width="19.7109375" customWidth="1"/>
    <col min="3" max="3" width="113.140625" customWidth="1"/>
    <col min="4" max="5" width="15.42578125" customWidth="1"/>
    <col min="6" max="12" width="13.42578125" customWidth="1"/>
    <col min="254" max="254" width="22" customWidth="1"/>
  </cols>
  <sheetData>
    <row r="1" spans="1:254" x14ac:dyDescent="0.2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254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254" ht="33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  <c r="IT3" s="52"/>
    </row>
    <row r="4" spans="1:254" ht="24" customHeight="1" thickBot="1" x14ac:dyDescent="0.3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IT4" s="52"/>
    </row>
    <row r="5" spans="1:254" ht="16.5" thickBot="1" x14ac:dyDescent="0.3">
      <c r="B5" s="2" t="s">
        <v>82</v>
      </c>
      <c r="C5" s="41">
        <f>codiexp1</f>
        <v>0</v>
      </c>
      <c r="IT5" s="52"/>
    </row>
    <row r="6" spans="1:254" ht="19.5" thickBot="1" x14ac:dyDescent="0.35">
      <c r="B6" s="2" t="s">
        <v>83</v>
      </c>
      <c r="C6" s="53" t="str">
        <f>+CONCATENATE(C5,"-01")</f>
        <v>0-01</v>
      </c>
    </row>
    <row r="7" spans="1:254" ht="16.5" thickBot="1" x14ac:dyDescent="0.3">
      <c r="B7" s="2" t="s">
        <v>0</v>
      </c>
      <c r="C7" s="43"/>
    </row>
    <row r="8" spans="1:254" ht="16.5" thickBot="1" x14ac:dyDescent="0.3">
      <c r="B8" s="2" t="s">
        <v>80</v>
      </c>
      <c r="C8" s="43"/>
    </row>
    <row r="9" spans="1:254" ht="16.5" thickBot="1" x14ac:dyDescent="0.3">
      <c r="B9" s="2" t="s">
        <v>84</v>
      </c>
      <c r="C9" s="42">
        <f>justificacio</f>
        <v>0</v>
      </c>
    </row>
    <row r="10" spans="1:254" ht="15.75" thickBot="1" x14ac:dyDescent="0.3">
      <c r="B10" s="1"/>
      <c r="C10" s="4"/>
    </row>
    <row r="11" spans="1:25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3">
        <v>2016</v>
      </c>
      <c r="F11" s="2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L11" s="3">
        <v>2023</v>
      </c>
    </row>
    <row r="12" spans="1:254" ht="15.75" customHeight="1" x14ac:dyDescent="0.25">
      <c r="A12" s="209" t="s">
        <v>85</v>
      </c>
      <c r="B12" s="212" t="s">
        <v>5</v>
      </c>
      <c r="C12" s="214" t="s">
        <v>6</v>
      </c>
      <c r="D12" s="214" t="s">
        <v>7</v>
      </c>
      <c r="E12" s="206"/>
      <c r="F12" s="216"/>
      <c r="G12" s="207"/>
      <c r="H12" s="207"/>
      <c r="I12" s="207"/>
      <c r="J12" s="207"/>
      <c r="K12" s="207"/>
      <c r="L12" s="219"/>
      <c r="M12" s="37"/>
    </row>
    <row r="13" spans="1:254" ht="16.5" customHeight="1" thickBot="1" x14ac:dyDescent="0.3">
      <c r="A13" s="210"/>
      <c r="B13" s="213"/>
      <c r="C13" s="215"/>
      <c r="D13" s="215"/>
      <c r="E13" s="206"/>
      <c r="F13" s="208"/>
      <c r="G13" s="206"/>
      <c r="H13" s="206"/>
      <c r="I13" s="206"/>
      <c r="J13" s="206"/>
      <c r="K13" s="206"/>
      <c r="L13" s="220"/>
      <c r="M13" s="37"/>
    </row>
    <row r="14" spans="1:254" ht="15.75" customHeight="1" x14ac:dyDescent="0.25">
      <c r="A14" s="210"/>
      <c r="B14" s="217" t="s">
        <v>8</v>
      </c>
      <c r="C14" s="214" t="s">
        <v>9</v>
      </c>
      <c r="D14" s="214" t="s">
        <v>10</v>
      </c>
      <c r="E14" s="206"/>
      <c r="F14" s="208"/>
      <c r="G14" s="206"/>
      <c r="H14" s="206"/>
      <c r="I14" s="206"/>
      <c r="J14" s="206"/>
      <c r="K14" s="206"/>
      <c r="L14" s="220"/>
      <c r="M14" s="37"/>
    </row>
    <row r="15" spans="1:254" ht="16.5" customHeight="1" thickBot="1" x14ac:dyDescent="0.3">
      <c r="A15" s="210"/>
      <c r="B15" s="218"/>
      <c r="C15" s="215"/>
      <c r="D15" s="215"/>
      <c r="E15" s="206"/>
      <c r="F15" s="208"/>
      <c r="G15" s="206"/>
      <c r="H15" s="206"/>
      <c r="I15" s="206"/>
      <c r="J15" s="206"/>
      <c r="K15" s="206"/>
      <c r="L15" s="220"/>
      <c r="M15" s="37"/>
    </row>
    <row r="16" spans="1:254" ht="15.75" customHeight="1" x14ac:dyDescent="0.25">
      <c r="A16" s="210"/>
      <c r="B16" s="212" t="s">
        <v>11</v>
      </c>
      <c r="C16" s="214" t="s">
        <v>12</v>
      </c>
      <c r="D16" s="214" t="s">
        <v>13</v>
      </c>
      <c r="E16" s="206"/>
      <c r="F16" s="208"/>
      <c r="G16" s="206"/>
      <c r="H16" s="206"/>
      <c r="I16" s="206"/>
      <c r="J16" s="206"/>
      <c r="K16" s="206"/>
      <c r="L16" s="220"/>
      <c r="M16" s="37"/>
    </row>
    <row r="17" spans="1:13" ht="16.5" customHeight="1" thickBot="1" x14ac:dyDescent="0.3">
      <c r="A17" s="210"/>
      <c r="B17" s="213"/>
      <c r="C17" s="215"/>
      <c r="D17" s="215"/>
      <c r="E17" s="206"/>
      <c r="F17" s="208"/>
      <c r="G17" s="206"/>
      <c r="H17" s="206"/>
      <c r="I17" s="206"/>
      <c r="J17" s="206"/>
      <c r="K17" s="206"/>
      <c r="L17" s="220"/>
      <c r="M17" s="37"/>
    </row>
    <row r="18" spans="1:13" ht="15.75" customHeight="1" x14ac:dyDescent="0.25">
      <c r="A18" s="210"/>
      <c r="B18" s="212" t="s">
        <v>14</v>
      </c>
      <c r="C18" s="214" t="s">
        <v>15</v>
      </c>
      <c r="D18" s="214" t="s">
        <v>16</v>
      </c>
      <c r="E18" s="206"/>
      <c r="F18" s="208"/>
      <c r="G18" s="206"/>
      <c r="H18" s="206"/>
      <c r="I18" s="206"/>
      <c r="J18" s="206"/>
      <c r="K18" s="206"/>
      <c r="L18" s="220"/>
      <c r="M18" s="37"/>
    </row>
    <row r="19" spans="1:13" ht="16.5" customHeight="1" thickBot="1" x14ac:dyDescent="0.3">
      <c r="A19" s="210"/>
      <c r="B19" s="213"/>
      <c r="C19" s="215"/>
      <c r="D19" s="215"/>
      <c r="E19" s="206"/>
      <c r="F19" s="208"/>
      <c r="G19" s="206"/>
      <c r="H19" s="206"/>
      <c r="I19" s="206"/>
      <c r="J19" s="206"/>
      <c r="K19" s="206"/>
      <c r="L19" s="220"/>
      <c r="M19" s="37"/>
    </row>
    <row r="20" spans="1:13" ht="15.75" customHeight="1" x14ac:dyDescent="0.25">
      <c r="A20" s="210"/>
      <c r="B20" s="212" t="s">
        <v>17</v>
      </c>
      <c r="C20" s="214" t="s">
        <v>18</v>
      </c>
      <c r="D20" s="214" t="s">
        <v>19</v>
      </c>
      <c r="E20" s="206"/>
      <c r="F20" s="208"/>
      <c r="G20" s="206"/>
      <c r="H20" s="206"/>
      <c r="I20" s="206"/>
      <c r="J20" s="206"/>
      <c r="K20" s="206"/>
      <c r="L20" s="220"/>
      <c r="M20" s="37"/>
    </row>
    <row r="21" spans="1:13" ht="16.5" customHeight="1" thickBot="1" x14ac:dyDescent="0.3">
      <c r="A21" s="210"/>
      <c r="B21" s="213"/>
      <c r="C21" s="215"/>
      <c r="D21" s="215"/>
      <c r="E21" s="206"/>
      <c r="F21" s="208"/>
      <c r="G21" s="206"/>
      <c r="H21" s="206"/>
      <c r="I21" s="206"/>
      <c r="J21" s="206"/>
      <c r="K21" s="206"/>
      <c r="L21" s="220"/>
      <c r="M21" s="37"/>
    </row>
    <row r="22" spans="1:13" ht="15.75" customHeight="1" x14ac:dyDescent="0.25">
      <c r="A22" s="210"/>
      <c r="B22" s="214" t="s">
        <v>20</v>
      </c>
      <c r="C22" s="214" t="s">
        <v>21</v>
      </c>
      <c r="D22" s="214" t="s">
        <v>22</v>
      </c>
      <c r="E22" s="206"/>
      <c r="F22" s="208"/>
      <c r="G22" s="223"/>
      <c r="H22" s="206"/>
      <c r="I22" s="206"/>
      <c r="J22" s="206"/>
      <c r="K22" s="206"/>
      <c r="L22" s="220"/>
      <c r="M22" s="37"/>
    </row>
    <row r="23" spans="1:13" ht="16.5" customHeight="1" thickBot="1" x14ac:dyDescent="0.3">
      <c r="A23" s="210"/>
      <c r="B23" s="215"/>
      <c r="C23" s="215"/>
      <c r="D23" s="215"/>
      <c r="E23" s="206"/>
      <c r="F23" s="208"/>
      <c r="G23" s="224"/>
      <c r="H23" s="206"/>
      <c r="I23" s="206"/>
      <c r="J23" s="206"/>
      <c r="K23" s="206"/>
      <c r="L23" s="220"/>
      <c r="M23" s="37"/>
    </row>
    <row r="24" spans="1:13" ht="15.75" customHeight="1" x14ac:dyDescent="0.25">
      <c r="A24" s="210"/>
      <c r="B24" s="221" t="s">
        <v>23</v>
      </c>
      <c r="C24" s="214" t="s">
        <v>24</v>
      </c>
      <c r="D24" s="214" t="s">
        <v>19</v>
      </c>
      <c r="E24" s="206"/>
      <c r="F24" s="208"/>
      <c r="G24" s="206"/>
      <c r="H24" s="206"/>
      <c r="I24" s="206"/>
      <c r="J24" s="206"/>
      <c r="K24" s="206"/>
      <c r="L24" s="220"/>
      <c r="M24" s="37"/>
    </row>
    <row r="25" spans="1:13" ht="16.5" customHeight="1" thickBot="1" x14ac:dyDescent="0.3">
      <c r="A25" s="211"/>
      <c r="B25" s="222"/>
      <c r="C25" s="215"/>
      <c r="D25" s="215"/>
      <c r="E25" s="206"/>
      <c r="F25" s="208"/>
      <c r="G25" s="206"/>
      <c r="H25" s="206"/>
      <c r="I25" s="206"/>
      <c r="J25" s="206"/>
      <c r="K25" s="206"/>
      <c r="L25" s="220"/>
      <c r="M25" s="37"/>
    </row>
    <row r="26" spans="1:13" ht="15.75" customHeight="1" x14ac:dyDescent="0.25">
      <c r="A26" s="209" t="s">
        <v>25</v>
      </c>
      <c r="B26" s="214" t="s">
        <v>26</v>
      </c>
      <c r="C26" s="214" t="s">
        <v>27</v>
      </c>
      <c r="D26" s="214" t="s">
        <v>13</v>
      </c>
      <c r="E26" s="206"/>
      <c r="F26" s="208"/>
      <c r="G26" s="206"/>
      <c r="H26" s="206"/>
      <c r="I26" s="206"/>
      <c r="J26" s="206"/>
      <c r="K26" s="206"/>
      <c r="L26" s="220"/>
      <c r="M26" s="37"/>
    </row>
    <row r="27" spans="1:13" ht="15.75" customHeight="1" thickBot="1" x14ac:dyDescent="0.3">
      <c r="A27" s="211"/>
      <c r="B27" s="215"/>
      <c r="C27" s="215"/>
      <c r="D27" s="215"/>
      <c r="E27" s="206"/>
      <c r="F27" s="225"/>
      <c r="G27" s="228"/>
      <c r="H27" s="228"/>
      <c r="I27" s="228"/>
      <c r="J27" s="228"/>
      <c r="K27" s="228"/>
      <c r="L27" s="229"/>
      <c r="M27" s="37"/>
    </row>
    <row r="28" spans="1:13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3">
        <v>2016</v>
      </c>
      <c r="F28" s="2">
        <v>2017</v>
      </c>
      <c r="G28" s="3">
        <v>2018</v>
      </c>
      <c r="H28" s="3">
        <v>2019</v>
      </c>
      <c r="I28" s="3">
        <v>2020</v>
      </c>
      <c r="J28" s="3">
        <v>2021</v>
      </c>
      <c r="K28" s="3">
        <v>2022</v>
      </c>
      <c r="L28" s="3">
        <v>2023</v>
      </c>
      <c r="M28" s="37"/>
    </row>
    <row r="29" spans="1:13" ht="25.5" customHeight="1" thickBot="1" x14ac:dyDescent="0.3">
      <c r="B29" s="6" t="s">
        <v>28</v>
      </c>
      <c r="C29" s="46" t="s">
        <v>29</v>
      </c>
      <c r="D29" s="9" t="s">
        <v>13</v>
      </c>
      <c r="E29" s="171"/>
      <c r="F29" s="140"/>
      <c r="G29" s="141"/>
      <c r="H29" s="141"/>
      <c r="I29" s="141"/>
      <c r="J29" s="141"/>
      <c r="K29" s="141"/>
      <c r="L29" s="142"/>
      <c r="M29" s="37"/>
    </row>
    <row r="30" spans="1:13" ht="25.5" customHeight="1" thickBot="1" x14ac:dyDescent="0.3">
      <c r="B30" s="6" t="s">
        <v>30</v>
      </c>
      <c r="C30" s="46" t="s">
        <v>31</v>
      </c>
      <c r="D30" s="6" t="s">
        <v>13</v>
      </c>
      <c r="E30" s="171"/>
      <c r="F30" s="143"/>
      <c r="G30" s="96"/>
      <c r="H30" s="96"/>
      <c r="I30" s="96"/>
      <c r="J30" s="96"/>
      <c r="K30" s="96"/>
      <c r="L30" s="144"/>
      <c r="M30" s="37"/>
    </row>
    <row r="31" spans="1:13" ht="25.5" customHeight="1" thickBot="1" x14ac:dyDescent="0.3">
      <c r="B31" s="32" t="s">
        <v>32</v>
      </c>
      <c r="C31" s="46" t="s">
        <v>33</v>
      </c>
      <c r="D31" s="6" t="s">
        <v>16</v>
      </c>
      <c r="E31" s="171"/>
      <c r="F31" s="143"/>
      <c r="G31" s="96"/>
      <c r="H31" s="96"/>
      <c r="I31" s="96"/>
      <c r="J31" s="96"/>
      <c r="K31" s="96"/>
      <c r="L31" s="144"/>
      <c r="M31" s="37"/>
    </row>
    <row r="32" spans="1:13" ht="25.5" customHeight="1" thickBot="1" x14ac:dyDescent="0.3">
      <c r="B32" s="32" t="s">
        <v>34</v>
      </c>
      <c r="C32" s="46" t="s">
        <v>35</v>
      </c>
      <c r="D32" s="6" t="s">
        <v>16</v>
      </c>
      <c r="E32" s="171"/>
      <c r="F32" s="143"/>
      <c r="G32" s="96"/>
      <c r="H32" s="96"/>
      <c r="I32" s="96"/>
      <c r="J32" s="96"/>
      <c r="K32" s="96"/>
      <c r="L32" s="144"/>
      <c r="M32" s="37"/>
    </row>
    <row r="33" spans="2:13" ht="25.5" customHeight="1" thickBot="1" x14ac:dyDescent="0.3">
      <c r="B33" s="32" t="s">
        <v>36</v>
      </c>
      <c r="C33" s="46" t="s">
        <v>37</v>
      </c>
      <c r="D33" s="32" t="s">
        <v>16</v>
      </c>
      <c r="E33" s="171"/>
      <c r="F33" s="143"/>
      <c r="G33" s="96"/>
      <c r="H33" s="96"/>
      <c r="I33" s="96"/>
      <c r="J33" s="96"/>
      <c r="K33" s="96"/>
      <c r="L33" s="144"/>
      <c r="M33" s="37"/>
    </row>
    <row r="34" spans="2:13" ht="25.5" customHeight="1" thickBot="1" x14ac:dyDescent="0.3">
      <c r="B34" s="32" t="s">
        <v>38</v>
      </c>
      <c r="C34" s="47" t="s">
        <v>39</v>
      </c>
      <c r="D34" s="32" t="s">
        <v>16</v>
      </c>
      <c r="E34" s="171"/>
      <c r="F34" s="143"/>
      <c r="G34" s="96"/>
      <c r="H34" s="96"/>
      <c r="I34" s="96"/>
      <c r="J34" s="96"/>
      <c r="K34" s="96"/>
      <c r="L34" s="144"/>
      <c r="M34" s="37"/>
    </row>
    <row r="35" spans="2:13" ht="25.5" customHeight="1" thickBot="1" x14ac:dyDescent="0.3">
      <c r="B35" s="32" t="s">
        <v>40</v>
      </c>
      <c r="C35" s="47" t="s">
        <v>41</v>
      </c>
      <c r="D35" s="6" t="s">
        <v>16</v>
      </c>
      <c r="E35" s="171"/>
      <c r="F35" s="143"/>
      <c r="G35" s="96"/>
      <c r="H35" s="96"/>
      <c r="I35" s="96"/>
      <c r="J35" s="96"/>
      <c r="K35" s="96"/>
      <c r="L35" s="144"/>
      <c r="M35" s="37"/>
    </row>
    <row r="36" spans="2:13" ht="25.5" customHeight="1" thickBot="1" x14ac:dyDescent="0.3">
      <c r="B36" s="32" t="s">
        <v>42</v>
      </c>
      <c r="C36" s="46" t="s">
        <v>43</v>
      </c>
      <c r="D36" s="32" t="s">
        <v>16</v>
      </c>
      <c r="E36" s="171"/>
      <c r="F36" s="143"/>
      <c r="G36" s="96"/>
      <c r="H36" s="96"/>
      <c r="I36" s="96"/>
      <c r="J36" s="96"/>
      <c r="K36" s="96"/>
      <c r="L36" s="144"/>
      <c r="M36" s="37"/>
    </row>
    <row r="37" spans="2:13" ht="25.5" customHeight="1" thickBot="1" x14ac:dyDescent="0.3">
      <c r="B37" s="32" t="s">
        <v>44</v>
      </c>
      <c r="C37" s="46" t="s">
        <v>45</v>
      </c>
      <c r="D37" s="48" t="s">
        <v>16</v>
      </c>
      <c r="E37" s="171"/>
      <c r="F37" s="143"/>
      <c r="G37" s="96"/>
      <c r="H37" s="96"/>
      <c r="I37" s="96"/>
      <c r="J37" s="96"/>
      <c r="K37" s="96"/>
      <c r="L37" s="144"/>
      <c r="M37" s="37"/>
    </row>
    <row r="38" spans="2:13" ht="25.5" customHeight="1" thickBot="1" x14ac:dyDescent="0.3">
      <c r="B38" s="32" t="s">
        <v>46</v>
      </c>
      <c r="C38" s="46" t="s">
        <v>47</v>
      </c>
      <c r="D38" s="32" t="s">
        <v>16</v>
      </c>
      <c r="E38" s="171"/>
      <c r="F38" s="143"/>
      <c r="G38" s="96"/>
      <c r="H38" s="96"/>
      <c r="I38" s="96"/>
      <c r="J38" s="96"/>
      <c r="K38" s="96"/>
      <c r="L38" s="144"/>
      <c r="M38" s="37"/>
    </row>
    <row r="39" spans="2:13" ht="25.5" customHeight="1" thickBot="1" x14ac:dyDescent="0.3">
      <c r="B39" s="32" t="s">
        <v>48</v>
      </c>
      <c r="C39" s="46" t="s">
        <v>49</v>
      </c>
      <c r="D39" s="49" t="s">
        <v>16</v>
      </c>
      <c r="E39" s="171"/>
      <c r="F39" s="143"/>
      <c r="G39" s="96"/>
      <c r="H39" s="96"/>
      <c r="I39" s="96"/>
      <c r="J39" s="96"/>
      <c r="K39" s="96"/>
      <c r="L39" s="144"/>
      <c r="M39" s="37"/>
    </row>
    <row r="40" spans="2:13" ht="25.5" customHeight="1" thickBot="1" x14ac:dyDescent="0.3">
      <c r="B40" s="32" t="s">
        <v>50</v>
      </c>
      <c r="C40" s="46" t="s">
        <v>51</v>
      </c>
      <c r="D40" s="32" t="s">
        <v>16</v>
      </c>
      <c r="E40" s="171"/>
      <c r="F40" s="143"/>
      <c r="G40" s="96"/>
      <c r="H40" s="96"/>
      <c r="I40" s="96"/>
      <c r="J40" s="96"/>
      <c r="K40" s="96"/>
      <c r="L40" s="144"/>
      <c r="M40" s="38"/>
    </row>
    <row r="41" spans="2:13" ht="25.5" customHeight="1" thickBot="1" x14ac:dyDescent="0.3">
      <c r="B41" s="32" t="s">
        <v>52</v>
      </c>
      <c r="C41" s="46" t="s">
        <v>53</v>
      </c>
      <c r="D41" s="32" t="s">
        <v>16</v>
      </c>
      <c r="E41" s="171"/>
      <c r="F41" s="143"/>
      <c r="G41" s="96"/>
      <c r="H41" s="96"/>
      <c r="I41" s="96"/>
      <c r="J41" s="96"/>
      <c r="K41" s="96"/>
      <c r="L41" s="144"/>
      <c r="M41" s="38"/>
    </row>
    <row r="42" spans="2:13" ht="25.5" customHeight="1" thickBot="1" x14ac:dyDescent="0.3">
      <c r="B42" s="32" t="s">
        <v>54</v>
      </c>
      <c r="C42" s="46" t="s">
        <v>55</v>
      </c>
      <c r="D42" s="32" t="s">
        <v>16</v>
      </c>
      <c r="E42" s="171"/>
      <c r="F42" s="143"/>
      <c r="G42" s="96"/>
      <c r="H42" s="96"/>
      <c r="I42" s="96"/>
      <c r="J42" s="96"/>
      <c r="K42" s="96"/>
      <c r="L42" s="144"/>
      <c r="M42" s="37"/>
    </row>
    <row r="43" spans="2:13" ht="25.5" customHeight="1" thickBot="1" x14ac:dyDescent="0.3">
      <c r="B43" s="32" t="s">
        <v>56</v>
      </c>
      <c r="C43" s="46" t="s">
        <v>57</v>
      </c>
      <c r="D43" s="32" t="s">
        <v>16</v>
      </c>
      <c r="E43" s="171"/>
      <c r="F43" s="143"/>
      <c r="G43" s="95"/>
      <c r="H43" s="95"/>
      <c r="I43" s="95"/>
      <c r="J43" s="95"/>
      <c r="K43" s="95"/>
      <c r="L43" s="169"/>
      <c r="M43" s="38"/>
    </row>
    <row r="44" spans="2:13" ht="25.5" customHeight="1" thickBot="1" x14ac:dyDescent="0.3">
      <c r="B44" s="32" t="s">
        <v>58</v>
      </c>
      <c r="C44" s="46" t="s">
        <v>59</v>
      </c>
      <c r="D44" s="32" t="s">
        <v>16</v>
      </c>
      <c r="E44" s="171"/>
      <c r="F44" s="143"/>
      <c r="G44" s="96"/>
      <c r="H44" s="96"/>
      <c r="I44" s="96"/>
      <c r="J44" s="96"/>
      <c r="K44" s="96"/>
      <c r="L44" s="144"/>
      <c r="M44" s="38"/>
    </row>
    <row r="45" spans="2:13" ht="25.5" customHeight="1" thickBot="1" x14ac:dyDescent="0.3">
      <c r="B45" s="32" t="s">
        <v>60</v>
      </c>
      <c r="C45" s="46" t="s">
        <v>61</v>
      </c>
      <c r="D45" s="32" t="s">
        <v>16</v>
      </c>
      <c r="E45" s="171"/>
      <c r="F45" s="143"/>
      <c r="G45" s="96"/>
      <c r="H45" s="96"/>
      <c r="I45" s="96"/>
      <c r="J45" s="96"/>
      <c r="K45" s="96"/>
      <c r="L45" s="144"/>
      <c r="M45" s="38"/>
    </row>
    <row r="46" spans="2:13" ht="25.5" customHeight="1" thickBot="1" x14ac:dyDescent="0.3">
      <c r="B46" s="32" t="s">
        <v>62</v>
      </c>
      <c r="C46" s="46" t="s">
        <v>63</v>
      </c>
      <c r="D46" s="8" t="s">
        <v>16</v>
      </c>
      <c r="E46" s="171"/>
      <c r="F46" s="143"/>
      <c r="G46" s="96"/>
      <c r="H46" s="96"/>
      <c r="I46" s="96"/>
      <c r="J46" s="96"/>
      <c r="K46" s="96"/>
      <c r="L46" s="144"/>
      <c r="M46" s="38"/>
    </row>
    <row r="47" spans="2:13" ht="25.5" customHeight="1" thickBot="1" x14ac:dyDescent="0.3">
      <c r="B47" s="32" t="s">
        <v>64</v>
      </c>
      <c r="C47" s="46" t="s">
        <v>65</v>
      </c>
      <c r="D47" s="32" t="s">
        <v>16</v>
      </c>
      <c r="E47" s="171"/>
      <c r="F47" s="143"/>
      <c r="G47" s="96"/>
      <c r="H47" s="96"/>
      <c r="I47" s="96"/>
      <c r="J47" s="96"/>
      <c r="K47" s="96"/>
      <c r="L47" s="144"/>
      <c r="M47" s="38"/>
    </row>
    <row r="48" spans="2:13" ht="25.5" customHeight="1" thickBot="1" x14ac:dyDescent="0.3">
      <c r="B48" s="8" t="s">
        <v>66</v>
      </c>
      <c r="C48" s="5" t="s">
        <v>67</v>
      </c>
      <c r="D48" s="7" t="s">
        <v>16</v>
      </c>
      <c r="E48" s="171"/>
      <c r="F48" s="143"/>
      <c r="G48" s="96"/>
      <c r="H48" s="96"/>
      <c r="I48" s="96"/>
      <c r="J48" s="96"/>
      <c r="K48" s="96"/>
      <c r="L48" s="144"/>
      <c r="M48" s="38"/>
    </row>
    <row r="49" spans="2:13" ht="25.5" customHeight="1" thickBot="1" x14ac:dyDescent="0.3">
      <c r="B49" s="32" t="s">
        <v>68</v>
      </c>
      <c r="C49" s="5" t="s">
        <v>69</v>
      </c>
      <c r="D49" s="8" t="s">
        <v>16</v>
      </c>
      <c r="E49" s="171"/>
      <c r="F49" s="143"/>
      <c r="G49" s="96"/>
      <c r="H49" s="96"/>
      <c r="I49" s="96"/>
      <c r="J49" s="96"/>
      <c r="K49" s="96"/>
      <c r="L49" s="144"/>
      <c r="M49" s="38"/>
    </row>
    <row r="50" spans="2:13" ht="25.5" customHeight="1" thickBot="1" x14ac:dyDescent="0.3">
      <c r="B50" s="32" t="s">
        <v>70</v>
      </c>
      <c r="C50" s="46" t="s">
        <v>71</v>
      </c>
      <c r="D50" s="6" t="s">
        <v>16</v>
      </c>
      <c r="E50" s="171"/>
      <c r="F50" s="143"/>
      <c r="G50" s="96"/>
      <c r="H50" s="96"/>
      <c r="I50" s="96"/>
      <c r="J50" s="96"/>
      <c r="K50" s="96"/>
      <c r="L50" s="144"/>
      <c r="M50" s="38"/>
    </row>
    <row r="51" spans="2:13" ht="25.5" customHeight="1" thickBot="1" x14ac:dyDescent="0.3">
      <c r="B51" s="32" t="s">
        <v>72</v>
      </c>
      <c r="C51" s="5" t="s">
        <v>73</v>
      </c>
      <c r="D51" s="6" t="s">
        <v>16</v>
      </c>
      <c r="E51" s="171"/>
      <c r="F51" s="143"/>
      <c r="G51" s="96"/>
      <c r="H51" s="96"/>
      <c r="I51" s="96"/>
      <c r="J51" s="96"/>
      <c r="K51" s="96"/>
      <c r="L51" s="144"/>
      <c r="M51" s="38"/>
    </row>
    <row r="52" spans="2:13" ht="25.5" customHeight="1" thickBot="1" x14ac:dyDescent="0.3">
      <c r="B52" s="32" t="s">
        <v>74</v>
      </c>
      <c r="C52" s="5" t="s">
        <v>75</v>
      </c>
      <c r="D52" s="6" t="s">
        <v>16</v>
      </c>
      <c r="E52" s="171"/>
      <c r="F52" s="143"/>
      <c r="G52" s="96"/>
      <c r="H52" s="96"/>
      <c r="I52" s="96"/>
      <c r="J52" s="96"/>
      <c r="K52" s="96"/>
      <c r="L52" s="144"/>
      <c r="M52" s="38"/>
    </row>
    <row r="53" spans="2:13" ht="25.5" customHeight="1" thickBot="1" x14ac:dyDescent="0.3">
      <c r="B53" s="32" t="s">
        <v>76</v>
      </c>
      <c r="C53" s="46" t="s">
        <v>77</v>
      </c>
      <c r="D53" s="6" t="s">
        <v>16</v>
      </c>
      <c r="E53" s="171"/>
      <c r="F53" s="145"/>
      <c r="G53" s="146"/>
      <c r="H53" s="146"/>
      <c r="I53" s="146"/>
      <c r="J53" s="146"/>
      <c r="K53" s="146"/>
      <c r="L53" s="147"/>
      <c r="M53" s="38"/>
    </row>
    <row r="54" spans="2:13" x14ac:dyDescent="0.25">
      <c r="F54" s="37"/>
      <c r="G54" s="37"/>
      <c r="H54" s="37"/>
      <c r="I54" s="37"/>
      <c r="J54" s="37"/>
      <c r="K54" s="37"/>
      <c r="L54" s="37"/>
      <c r="M54" s="37"/>
    </row>
    <row r="55" spans="2:13" x14ac:dyDescent="0.25">
      <c r="F55" s="37"/>
      <c r="G55" s="37"/>
      <c r="H55" s="37"/>
      <c r="I55" s="37"/>
      <c r="J55" s="37"/>
      <c r="K55" s="37"/>
      <c r="L55" s="37"/>
      <c r="M55" s="37"/>
    </row>
    <row r="56" spans="2:13" x14ac:dyDescent="0.25">
      <c r="F56" s="37"/>
      <c r="G56" s="37"/>
      <c r="H56" s="37"/>
      <c r="I56" s="37"/>
      <c r="J56" s="37"/>
      <c r="K56" s="37"/>
      <c r="L56" s="37"/>
      <c r="M56" s="37"/>
    </row>
  </sheetData>
  <sheetProtection algorithmName="SHA-512" hashValue="BxfLI2yOgJgxY8Rf0hojqO/FB346Rg6E7evcl5FNBj3nqqca9e7DeksrAGvou90Iq0bMIfEEF+tLGXW68mQHSA==" saltValue="g+Yw67KdQMtWqEcW92l0Tw==" spinCount="100000" sheet="1" selectLockedCells="1"/>
  <customSheetViews>
    <customSheetView guid="{EDFE284D-223A-49E7-8396-C31999A2537B}">
      <selection activeCell="C3" sqref="C3"/>
      <pageMargins left="0.7" right="0.7" top="0.75" bottom="0.75" header="0.3" footer="0.3"/>
      <pageSetup paperSize="9" orientation="portrait" r:id="rId1"/>
    </customSheetView>
  </customSheetViews>
  <mergeCells count="93">
    <mergeCell ref="A4:L4"/>
    <mergeCell ref="A1:L2"/>
    <mergeCell ref="C3:H3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F26:F27"/>
    <mergeCell ref="H22:H23"/>
    <mergeCell ref="I22:I23"/>
    <mergeCell ref="E26:E27"/>
    <mergeCell ref="J22:J23"/>
    <mergeCell ref="K22:K23"/>
    <mergeCell ref="L22:L23"/>
    <mergeCell ref="B24:B25"/>
    <mergeCell ref="C24:C25"/>
    <mergeCell ref="D24:D25"/>
    <mergeCell ref="F24:F25"/>
    <mergeCell ref="G24:G25"/>
    <mergeCell ref="B22:B23"/>
    <mergeCell ref="C22:C23"/>
    <mergeCell ref="D22:D23"/>
    <mergeCell ref="F22:F23"/>
    <mergeCell ref="G22:G23"/>
    <mergeCell ref="E22:E23"/>
    <mergeCell ref="E24:E25"/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B20:B21"/>
    <mergeCell ref="C20:C21"/>
    <mergeCell ref="D20:D21"/>
    <mergeCell ref="F20:F21"/>
    <mergeCell ref="G20:G21"/>
    <mergeCell ref="E20:E21"/>
    <mergeCell ref="H16:H17"/>
    <mergeCell ref="I16:I17"/>
    <mergeCell ref="J16:J17"/>
    <mergeCell ref="K16:K17"/>
    <mergeCell ref="L16:L17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A12:A25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E12:E13"/>
    <mergeCell ref="E14:E15"/>
    <mergeCell ref="E16:E17"/>
    <mergeCell ref="E18:E19"/>
    <mergeCell ref="G12:G13"/>
    <mergeCell ref="G14:G15"/>
    <mergeCell ref="G16:G17"/>
    <mergeCell ref="F18:F19"/>
    <mergeCell ref="G18:G19"/>
  </mergeCells>
  <dataValidations count="9">
    <dataValidation type="whole" allowBlank="1" showInputMessage="1" showErrorMessage="1" error="Valor= 0 o 1 _x000a_" sqref="F46:L53" xr:uid="{00000000-0002-0000-0100-000000000000}">
      <formula1>0</formula1>
      <formula2>1</formula2>
    </dataValidation>
    <dataValidation type="whole" allowBlank="1" showInputMessage="1" showErrorMessage="1" error="Valor = 0 o 1 " sqref="F12:L15 F34:L35 F39:L39" xr:uid="{00000000-0002-0000-0100-000001000000}">
      <formula1>0</formula1>
      <formula2>1</formula2>
    </dataValidation>
    <dataValidation type="whole" allowBlank="1" showInputMessage="1" showErrorMessage="1" error="Valor=1" sqref="F43:L43" xr:uid="{00000000-0002-0000-0100-000002000000}">
      <formula1>1</formula1>
      <formula2>1</formula2>
    </dataValidation>
    <dataValidation type="whole" allowBlank="1" showInputMessage="1" showErrorMessage="1" error="Valor=0" sqref="F18:L19" xr:uid="{00000000-0002-0000-0100-000003000000}">
      <formula1>0</formula1>
      <formula2>0</formula2>
    </dataValidation>
    <dataValidation type="textLength" allowBlank="1" showInputMessage="1" showErrorMessage="1" error="El NIF introduit no és vàlid " sqref="C8" xr:uid="{2B6E4313-F1C3-4588-809D-3FDA413CE0E7}">
      <formula1>9</formula1>
      <formula2>9</formula2>
    </dataValidation>
    <dataValidation type="decimal" allowBlank="1" showInputMessage="1" showErrorMessage="1" error="Valor=0 o 1" sqref="E12:E13" xr:uid="{D13973C1-FA7C-4D62-B73D-CA2CB0758427}">
      <formula1>0</formula1>
      <formula2>1</formula2>
    </dataValidation>
    <dataValidation type="whole" allowBlank="1" showInputMessage="1" showErrorMessage="1" error="Valor=0 o 1" sqref="E14:E15 E34 E35 E39 E46 E47:E53" xr:uid="{803D0D2C-1B65-4CC9-87C9-AB3CCF9C2722}">
      <formula1>0</formula1>
      <formula2>1</formula2>
    </dataValidation>
    <dataValidation type="whole" operator="equal" allowBlank="1" showInputMessage="1" showErrorMessage="1" error="Valor=0" sqref="E18:E19" xr:uid="{E30E79B4-1E97-4441-94B5-9440C4ABCE1E}">
      <formula1>0</formula1>
    </dataValidation>
    <dataValidation type="whole" operator="equal" allowBlank="1" showInputMessage="1" showErrorMessage="1" error="Valor= 1" sqref="E43" xr:uid="{2D50B3A8-AC48-4CB6-BF31-1C29AF86C74D}">
      <formula1>1</formula1>
    </dataValidation>
  </dataValidations>
  <pageMargins left="0.7" right="0.7" top="0.75" bottom="0.75" header="0.3" footer="0.3"/>
  <pageSetup paperSize="9" scale="32" fitToHeight="0" orientation="portrait" r:id="rId2"/>
  <headerFooter>
    <oddFooter>&amp;R&amp;7D.71
Versió 1, 19 de febrer de 2018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topLeftCell="D39" zoomScale="70" zoomScaleNormal="70" workbookViewId="0">
      <selection activeCell="E39" activeCellId="18" sqref="A54:XFD1048576 M42:XFD53 A42:D53 M29:XFD41 A29:D41 A28:XFD28 M16:XFD27 A16:D27 M14:XFD15 A14:D15 M12:XFD13 A12:D13 A9:XFD11 D8:XFD8 A8:B8 D7:XFD7 A7:B7 A1:XFD6 E39"/>
    </sheetView>
  </sheetViews>
  <sheetFormatPr defaultColWidth="11.42578125" defaultRowHeight="15" x14ac:dyDescent="0.25"/>
  <cols>
    <col min="1" max="1" width="16" style="4" customWidth="1"/>
    <col min="2" max="2" width="21.28515625" style="4" customWidth="1"/>
    <col min="3" max="3" width="115.140625" style="4" customWidth="1"/>
    <col min="4" max="5" width="15.7109375" style="4" customWidth="1"/>
    <col min="6" max="6" width="13.85546875" style="4" customWidth="1"/>
    <col min="7" max="9" width="14" style="4" customWidth="1"/>
    <col min="10" max="12" width="13.85546875" style="4" customWidth="1"/>
    <col min="13" max="16384" width="11.42578125" style="4"/>
  </cols>
  <sheetData>
    <row r="1" spans="1:14" ht="0.75" customHeight="1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4" customFormat="1" ht="33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14" ht="24.7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4" ht="16.5" thickBot="1" x14ac:dyDescent="0.3">
      <c r="B5" s="2" t="s">
        <v>82</v>
      </c>
      <c r="C5" s="41">
        <f>codiexp1</f>
        <v>0</v>
      </c>
    </row>
    <row r="6" spans="1:14" ht="19.5" thickBot="1" x14ac:dyDescent="0.35">
      <c r="B6" s="2" t="s">
        <v>83</v>
      </c>
      <c r="C6" s="53" t="str">
        <f>+CONCATENATE(C5,"-02")</f>
        <v>0-02</v>
      </c>
    </row>
    <row r="7" spans="1:14" ht="16.5" thickBot="1" x14ac:dyDescent="0.3">
      <c r="B7" s="2" t="s">
        <v>0</v>
      </c>
      <c r="C7" s="43"/>
    </row>
    <row r="8" spans="1:14" ht="16.5" thickBot="1" x14ac:dyDescent="0.3">
      <c r="B8" s="2" t="s">
        <v>80</v>
      </c>
      <c r="C8" s="43"/>
    </row>
    <row r="9" spans="1:14" ht="16.5" thickBot="1" x14ac:dyDescent="0.3">
      <c r="B9" s="2" t="s">
        <v>84</v>
      </c>
      <c r="C9" s="42">
        <f>justificacio</f>
        <v>0</v>
      </c>
    </row>
    <row r="10" spans="1:14" ht="15.75" thickBot="1" x14ac:dyDescent="0.3">
      <c r="B10" s="24"/>
    </row>
    <row r="11" spans="1:1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3">
        <v>2016</v>
      </c>
      <c r="F11" s="2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L11" s="3">
        <v>2023</v>
      </c>
    </row>
    <row r="12" spans="1:14" ht="15.75" customHeight="1" x14ac:dyDescent="0.25">
      <c r="A12" s="235" t="s">
        <v>4</v>
      </c>
      <c r="B12" s="212" t="s">
        <v>5</v>
      </c>
      <c r="C12" s="214" t="s">
        <v>6</v>
      </c>
      <c r="D12" s="214" t="s">
        <v>7</v>
      </c>
      <c r="E12" s="230"/>
      <c r="F12" s="238"/>
      <c r="G12" s="233"/>
      <c r="H12" s="233"/>
      <c r="I12" s="233"/>
      <c r="J12" s="233"/>
      <c r="K12" s="233"/>
      <c r="L12" s="240"/>
      <c r="M12" s="44"/>
      <c r="N12" s="39"/>
    </row>
    <row r="13" spans="1:14" ht="16.5" customHeight="1" thickBot="1" x14ac:dyDescent="0.3">
      <c r="A13" s="236"/>
      <c r="B13" s="213"/>
      <c r="C13" s="215"/>
      <c r="D13" s="215"/>
      <c r="E13" s="231"/>
      <c r="F13" s="239"/>
      <c r="G13" s="234"/>
      <c r="H13" s="234"/>
      <c r="I13" s="234"/>
      <c r="J13" s="234"/>
      <c r="K13" s="234"/>
      <c r="L13" s="241"/>
      <c r="M13" s="44"/>
      <c r="N13" s="39"/>
    </row>
    <row r="14" spans="1:14" ht="15.75" customHeight="1" x14ac:dyDescent="0.25">
      <c r="A14" s="236"/>
      <c r="B14" s="212" t="s">
        <v>8</v>
      </c>
      <c r="C14" s="214" t="s">
        <v>9</v>
      </c>
      <c r="D14" s="214" t="s">
        <v>10</v>
      </c>
      <c r="E14" s="232"/>
      <c r="F14" s="239"/>
      <c r="G14" s="234"/>
      <c r="H14" s="234"/>
      <c r="I14" s="234"/>
      <c r="J14" s="234"/>
      <c r="K14" s="234"/>
      <c r="L14" s="241"/>
      <c r="M14" s="44"/>
      <c r="N14" s="39"/>
    </row>
    <row r="15" spans="1:14" ht="16.5" customHeight="1" thickBot="1" x14ac:dyDescent="0.3">
      <c r="A15" s="236"/>
      <c r="B15" s="213"/>
      <c r="C15" s="215"/>
      <c r="D15" s="215"/>
      <c r="E15" s="231"/>
      <c r="F15" s="239"/>
      <c r="G15" s="234"/>
      <c r="H15" s="234"/>
      <c r="I15" s="234"/>
      <c r="J15" s="234"/>
      <c r="K15" s="234"/>
      <c r="L15" s="241"/>
      <c r="M15" s="44"/>
      <c r="N15" s="39"/>
    </row>
    <row r="16" spans="1:14" ht="15.75" customHeight="1" x14ac:dyDescent="0.25">
      <c r="A16" s="236"/>
      <c r="B16" s="212" t="s">
        <v>11</v>
      </c>
      <c r="C16" s="214" t="s">
        <v>12</v>
      </c>
      <c r="D16" s="214" t="s">
        <v>13</v>
      </c>
      <c r="E16" s="232"/>
      <c r="F16" s="239"/>
      <c r="G16" s="234"/>
      <c r="H16" s="234"/>
      <c r="I16" s="234"/>
      <c r="J16" s="234"/>
      <c r="K16" s="234"/>
      <c r="L16" s="241"/>
      <c r="M16" s="44"/>
      <c r="N16" s="39"/>
    </row>
    <row r="17" spans="1:14" ht="16.5" customHeight="1" thickBot="1" x14ac:dyDescent="0.3">
      <c r="A17" s="236"/>
      <c r="B17" s="213"/>
      <c r="C17" s="215"/>
      <c r="D17" s="215"/>
      <c r="E17" s="231"/>
      <c r="F17" s="239"/>
      <c r="G17" s="234"/>
      <c r="H17" s="234"/>
      <c r="I17" s="234"/>
      <c r="J17" s="234"/>
      <c r="K17" s="234"/>
      <c r="L17" s="241"/>
      <c r="M17" s="44"/>
      <c r="N17" s="39"/>
    </row>
    <row r="18" spans="1:14" ht="15.75" customHeight="1" x14ac:dyDescent="0.25">
      <c r="A18" s="236"/>
      <c r="B18" s="212" t="s">
        <v>14</v>
      </c>
      <c r="C18" s="214" t="s">
        <v>15</v>
      </c>
      <c r="D18" s="214" t="s">
        <v>16</v>
      </c>
      <c r="E18" s="232"/>
      <c r="F18" s="239"/>
      <c r="G18" s="234"/>
      <c r="H18" s="234"/>
      <c r="I18" s="234"/>
      <c r="J18" s="234"/>
      <c r="K18" s="234"/>
      <c r="L18" s="241"/>
      <c r="M18" s="44"/>
      <c r="N18" s="39"/>
    </row>
    <row r="19" spans="1:14" ht="16.5" customHeight="1" thickBot="1" x14ac:dyDescent="0.3">
      <c r="A19" s="236"/>
      <c r="B19" s="213"/>
      <c r="C19" s="215"/>
      <c r="D19" s="215"/>
      <c r="E19" s="231"/>
      <c r="F19" s="239"/>
      <c r="G19" s="234"/>
      <c r="H19" s="234"/>
      <c r="I19" s="234"/>
      <c r="J19" s="234"/>
      <c r="K19" s="234"/>
      <c r="L19" s="241"/>
      <c r="M19" s="44"/>
      <c r="N19" s="39"/>
    </row>
    <row r="20" spans="1:14" ht="15.75" customHeight="1" x14ac:dyDescent="0.25">
      <c r="A20" s="236"/>
      <c r="B20" s="212" t="s">
        <v>17</v>
      </c>
      <c r="C20" s="214" t="s">
        <v>18</v>
      </c>
      <c r="D20" s="214" t="s">
        <v>19</v>
      </c>
      <c r="E20" s="232"/>
      <c r="F20" s="239"/>
      <c r="G20" s="234"/>
      <c r="H20" s="234"/>
      <c r="I20" s="234"/>
      <c r="J20" s="234"/>
      <c r="K20" s="234"/>
      <c r="L20" s="241"/>
      <c r="M20" s="44"/>
      <c r="N20" s="39"/>
    </row>
    <row r="21" spans="1:14" ht="16.5" customHeight="1" thickBot="1" x14ac:dyDescent="0.3">
      <c r="A21" s="236"/>
      <c r="B21" s="213"/>
      <c r="C21" s="215"/>
      <c r="D21" s="215"/>
      <c r="E21" s="231"/>
      <c r="F21" s="239"/>
      <c r="G21" s="234"/>
      <c r="H21" s="234"/>
      <c r="I21" s="234"/>
      <c r="J21" s="234"/>
      <c r="K21" s="234"/>
      <c r="L21" s="241"/>
      <c r="M21" s="44"/>
      <c r="N21" s="39"/>
    </row>
    <row r="22" spans="1:14" ht="15.75" customHeight="1" x14ac:dyDescent="0.25">
      <c r="A22" s="236"/>
      <c r="B22" s="212" t="s">
        <v>20</v>
      </c>
      <c r="C22" s="214" t="s">
        <v>21</v>
      </c>
      <c r="D22" s="214" t="s">
        <v>22</v>
      </c>
      <c r="E22" s="232"/>
      <c r="F22" s="239"/>
      <c r="G22" s="234"/>
      <c r="H22" s="234"/>
      <c r="I22" s="234"/>
      <c r="J22" s="234"/>
      <c r="K22" s="234"/>
      <c r="L22" s="241"/>
      <c r="M22" s="44"/>
      <c r="N22" s="39"/>
    </row>
    <row r="23" spans="1:14" ht="16.5" customHeight="1" thickBot="1" x14ac:dyDescent="0.3">
      <c r="A23" s="236"/>
      <c r="B23" s="213"/>
      <c r="C23" s="215"/>
      <c r="D23" s="215"/>
      <c r="E23" s="231"/>
      <c r="F23" s="239"/>
      <c r="G23" s="234"/>
      <c r="H23" s="234"/>
      <c r="I23" s="234"/>
      <c r="J23" s="234"/>
      <c r="K23" s="234"/>
      <c r="L23" s="241"/>
      <c r="M23" s="44"/>
      <c r="N23" s="39"/>
    </row>
    <row r="24" spans="1:14" ht="15.75" customHeight="1" x14ac:dyDescent="0.25">
      <c r="A24" s="236"/>
      <c r="B24" s="212" t="s">
        <v>23</v>
      </c>
      <c r="C24" s="214" t="s">
        <v>24</v>
      </c>
      <c r="D24" s="214" t="s">
        <v>19</v>
      </c>
      <c r="E24" s="232"/>
      <c r="F24" s="239"/>
      <c r="G24" s="234"/>
      <c r="H24" s="234"/>
      <c r="I24" s="234"/>
      <c r="J24" s="234"/>
      <c r="K24" s="234"/>
      <c r="L24" s="241"/>
      <c r="M24" s="44"/>
      <c r="N24" s="39"/>
    </row>
    <row r="25" spans="1:14" ht="16.5" customHeight="1" thickBot="1" x14ac:dyDescent="0.3">
      <c r="A25" s="237"/>
      <c r="B25" s="213"/>
      <c r="C25" s="215"/>
      <c r="D25" s="215"/>
      <c r="E25" s="231"/>
      <c r="F25" s="239"/>
      <c r="G25" s="234"/>
      <c r="H25" s="234"/>
      <c r="I25" s="234"/>
      <c r="J25" s="234"/>
      <c r="K25" s="234"/>
      <c r="L25" s="241"/>
      <c r="M25" s="44"/>
      <c r="N25" s="39"/>
    </row>
    <row r="26" spans="1:14" ht="15.75" customHeight="1" x14ac:dyDescent="0.25">
      <c r="A26" s="235" t="s">
        <v>25</v>
      </c>
      <c r="B26" s="214" t="s">
        <v>26</v>
      </c>
      <c r="C26" s="214" t="s">
        <v>27</v>
      </c>
      <c r="D26" s="214" t="s">
        <v>13</v>
      </c>
      <c r="E26" s="232"/>
      <c r="F26" s="239"/>
      <c r="G26" s="234"/>
      <c r="H26" s="234"/>
      <c r="I26" s="234"/>
      <c r="J26" s="234"/>
      <c r="K26" s="234"/>
      <c r="L26" s="241"/>
      <c r="M26" s="44"/>
      <c r="N26" s="39"/>
    </row>
    <row r="27" spans="1:14" ht="15.75" customHeight="1" thickBot="1" x14ac:dyDescent="0.3">
      <c r="A27" s="237"/>
      <c r="B27" s="215"/>
      <c r="C27" s="215"/>
      <c r="D27" s="215"/>
      <c r="E27" s="243"/>
      <c r="F27" s="242"/>
      <c r="G27" s="245"/>
      <c r="H27" s="245"/>
      <c r="I27" s="245"/>
      <c r="J27" s="245"/>
      <c r="K27" s="245"/>
      <c r="L27" s="246"/>
      <c r="M27" s="44"/>
      <c r="N27" s="39"/>
    </row>
    <row r="28" spans="1:14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3">
        <v>2016</v>
      </c>
      <c r="F28" s="2">
        <v>2017</v>
      </c>
      <c r="G28" s="3">
        <v>2018</v>
      </c>
      <c r="H28" s="3">
        <v>2019</v>
      </c>
      <c r="I28" s="3">
        <v>2020</v>
      </c>
      <c r="J28" s="3">
        <v>2021</v>
      </c>
      <c r="K28" s="3">
        <v>2022</v>
      </c>
      <c r="L28" s="3">
        <v>2023</v>
      </c>
      <c r="M28" s="44"/>
      <c r="N28" s="39"/>
    </row>
    <row r="29" spans="1:14" ht="25.5" customHeight="1" thickBot="1" x14ac:dyDescent="0.3">
      <c r="B29" s="25" t="s">
        <v>28</v>
      </c>
      <c r="C29" s="26" t="s">
        <v>29</v>
      </c>
      <c r="D29" s="25" t="s">
        <v>13</v>
      </c>
      <c r="E29" s="160"/>
      <c r="F29" s="160"/>
      <c r="G29" s="161"/>
      <c r="H29" s="161"/>
      <c r="I29" s="161"/>
      <c r="J29" s="161"/>
      <c r="K29" s="161"/>
      <c r="L29" s="162"/>
      <c r="M29" s="44"/>
      <c r="N29" s="39"/>
    </row>
    <row r="30" spans="1:14" ht="25.5" customHeight="1" thickBot="1" x14ac:dyDescent="0.3">
      <c r="B30" s="27" t="s">
        <v>30</v>
      </c>
      <c r="C30" s="46" t="s">
        <v>31</v>
      </c>
      <c r="D30" s="25" t="s">
        <v>13</v>
      </c>
      <c r="E30" s="163"/>
      <c r="F30" s="163"/>
      <c r="G30" s="97"/>
      <c r="H30" s="97"/>
      <c r="I30" s="97"/>
      <c r="J30" s="97"/>
      <c r="K30" s="97"/>
      <c r="L30" s="164"/>
      <c r="M30" s="44"/>
      <c r="N30" s="39"/>
    </row>
    <row r="31" spans="1:14" ht="25.5" customHeight="1" thickBot="1" x14ac:dyDescent="0.3">
      <c r="B31" s="34" t="s">
        <v>32</v>
      </c>
      <c r="C31" s="46" t="s">
        <v>33</v>
      </c>
      <c r="D31" s="27" t="s">
        <v>16</v>
      </c>
      <c r="E31" s="163"/>
      <c r="F31" s="163"/>
      <c r="G31" s="97"/>
      <c r="H31" s="97"/>
      <c r="I31" s="97"/>
      <c r="J31" s="97"/>
      <c r="K31" s="97"/>
      <c r="L31" s="164"/>
      <c r="M31" s="44"/>
      <c r="N31" s="39"/>
    </row>
    <row r="32" spans="1:14" ht="25.5" customHeight="1" thickBot="1" x14ac:dyDescent="0.3">
      <c r="B32" s="34" t="s">
        <v>34</v>
      </c>
      <c r="C32" s="46" t="s">
        <v>35</v>
      </c>
      <c r="D32" s="27" t="s">
        <v>16</v>
      </c>
      <c r="E32" s="163"/>
      <c r="F32" s="163"/>
      <c r="G32" s="97"/>
      <c r="H32" s="97"/>
      <c r="I32" s="97"/>
      <c r="J32" s="97"/>
      <c r="K32" s="97"/>
      <c r="L32" s="164"/>
      <c r="M32" s="44"/>
      <c r="N32" s="39"/>
    </row>
    <row r="33" spans="2:14" ht="25.5" customHeight="1" thickBot="1" x14ac:dyDescent="0.3">
      <c r="B33" s="34" t="s">
        <v>36</v>
      </c>
      <c r="C33" s="46" t="s">
        <v>37</v>
      </c>
      <c r="D33" s="27" t="s">
        <v>16</v>
      </c>
      <c r="E33" s="163"/>
      <c r="F33" s="163"/>
      <c r="G33" s="97"/>
      <c r="H33" s="97"/>
      <c r="I33" s="97"/>
      <c r="J33" s="97"/>
      <c r="K33" s="97"/>
      <c r="L33" s="164"/>
      <c r="M33" s="44"/>
      <c r="N33" s="39"/>
    </row>
    <row r="34" spans="2:14" ht="25.5" customHeight="1" thickBot="1" x14ac:dyDescent="0.3">
      <c r="B34" s="34" t="s">
        <v>38</v>
      </c>
      <c r="C34" s="47" t="s">
        <v>39</v>
      </c>
      <c r="D34" s="27" t="s">
        <v>16</v>
      </c>
      <c r="E34" s="163"/>
      <c r="F34" s="163"/>
      <c r="G34" s="97"/>
      <c r="H34" s="97"/>
      <c r="I34" s="97"/>
      <c r="J34" s="97"/>
      <c r="K34" s="97"/>
      <c r="L34" s="164"/>
      <c r="M34" s="44"/>
      <c r="N34" s="39"/>
    </row>
    <row r="35" spans="2:14" ht="25.5" customHeight="1" thickBot="1" x14ac:dyDescent="0.3">
      <c r="B35" s="34" t="s">
        <v>40</v>
      </c>
      <c r="C35" s="47" t="s">
        <v>41</v>
      </c>
      <c r="D35" s="27" t="s">
        <v>16</v>
      </c>
      <c r="E35" s="163"/>
      <c r="F35" s="163"/>
      <c r="G35" s="97"/>
      <c r="H35" s="97"/>
      <c r="I35" s="97"/>
      <c r="J35" s="97"/>
      <c r="K35" s="97"/>
      <c r="L35" s="164"/>
      <c r="M35" s="44"/>
      <c r="N35" s="39"/>
    </row>
    <row r="36" spans="2:14" ht="25.5" customHeight="1" thickBot="1" x14ac:dyDescent="0.3">
      <c r="B36" s="34" t="s">
        <v>42</v>
      </c>
      <c r="C36" s="46" t="s">
        <v>43</v>
      </c>
      <c r="D36" s="34" t="s">
        <v>16</v>
      </c>
      <c r="E36" s="163"/>
      <c r="F36" s="163"/>
      <c r="G36" s="97"/>
      <c r="H36" s="97"/>
      <c r="I36" s="97"/>
      <c r="J36" s="97"/>
      <c r="K36" s="97"/>
      <c r="L36" s="164"/>
      <c r="M36" s="44"/>
      <c r="N36" s="39"/>
    </row>
    <row r="37" spans="2:14" ht="25.5" customHeight="1" thickBot="1" x14ac:dyDescent="0.3">
      <c r="B37" s="34" t="s">
        <v>44</v>
      </c>
      <c r="C37" s="46" t="s">
        <v>45</v>
      </c>
      <c r="D37" s="35" t="s">
        <v>16</v>
      </c>
      <c r="E37" s="163"/>
      <c r="F37" s="163"/>
      <c r="G37" s="97"/>
      <c r="H37" s="97"/>
      <c r="I37" s="97"/>
      <c r="J37" s="97"/>
      <c r="K37" s="97"/>
      <c r="L37" s="164"/>
      <c r="M37" s="44"/>
      <c r="N37" s="39"/>
    </row>
    <row r="38" spans="2:14" ht="25.5" customHeight="1" thickBot="1" x14ac:dyDescent="0.3">
      <c r="B38" s="34" t="s">
        <v>46</v>
      </c>
      <c r="C38" s="46" t="s">
        <v>47</v>
      </c>
      <c r="D38" s="34" t="s">
        <v>16</v>
      </c>
      <c r="E38" s="163"/>
      <c r="F38" s="163"/>
      <c r="G38" s="97"/>
      <c r="H38" s="97"/>
      <c r="I38" s="97"/>
      <c r="J38" s="97"/>
      <c r="K38" s="97"/>
      <c r="L38" s="164"/>
      <c r="M38" s="44"/>
      <c r="N38" s="39"/>
    </row>
    <row r="39" spans="2:14" ht="25.5" customHeight="1" thickBot="1" x14ac:dyDescent="0.3">
      <c r="B39" s="34" t="s">
        <v>48</v>
      </c>
      <c r="C39" s="46" t="s">
        <v>49</v>
      </c>
      <c r="D39" s="36" t="s">
        <v>16</v>
      </c>
      <c r="E39" s="163"/>
      <c r="F39" s="163"/>
      <c r="G39" s="97"/>
      <c r="H39" s="97"/>
      <c r="I39" s="97"/>
      <c r="J39" s="97"/>
      <c r="K39" s="97"/>
      <c r="L39" s="164"/>
      <c r="M39" s="44"/>
      <c r="N39" s="39"/>
    </row>
    <row r="40" spans="2:14" ht="25.5" customHeight="1" thickBot="1" x14ac:dyDescent="0.3">
      <c r="B40" s="34" t="s">
        <v>50</v>
      </c>
      <c r="C40" s="46" t="s">
        <v>51</v>
      </c>
      <c r="D40" s="36" t="s">
        <v>16</v>
      </c>
      <c r="E40" s="163"/>
      <c r="F40" s="163"/>
      <c r="G40" s="97"/>
      <c r="H40" s="97"/>
      <c r="I40" s="97"/>
      <c r="J40" s="97"/>
      <c r="K40" s="97"/>
      <c r="L40" s="164"/>
      <c r="M40" s="44"/>
      <c r="N40" s="39"/>
    </row>
    <row r="41" spans="2:14" ht="25.5" customHeight="1" thickBot="1" x14ac:dyDescent="0.3">
      <c r="B41" s="34" t="s">
        <v>52</v>
      </c>
      <c r="C41" s="46" t="s">
        <v>53</v>
      </c>
      <c r="D41" s="34" t="s">
        <v>16</v>
      </c>
      <c r="E41" s="163"/>
      <c r="F41" s="163"/>
      <c r="G41" s="97"/>
      <c r="H41" s="97"/>
      <c r="I41" s="97"/>
      <c r="J41" s="97"/>
      <c r="K41" s="97"/>
      <c r="L41" s="164"/>
      <c r="M41" s="44"/>
      <c r="N41" s="39"/>
    </row>
    <row r="42" spans="2:14" ht="25.5" customHeight="1" thickBot="1" x14ac:dyDescent="0.3">
      <c r="B42" s="34" t="s">
        <v>54</v>
      </c>
      <c r="C42" s="46" t="s">
        <v>55</v>
      </c>
      <c r="D42" s="34" t="s">
        <v>16</v>
      </c>
      <c r="E42" s="163"/>
      <c r="F42" s="163"/>
      <c r="G42" s="97"/>
      <c r="H42" s="97"/>
      <c r="I42" s="97"/>
      <c r="J42" s="97"/>
      <c r="K42" s="97"/>
      <c r="L42" s="164"/>
      <c r="M42" s="44"/>
      <c r="N42" s="39"/>
    </row>
    <row r="43" spans="2:14" ht="25.5" customHeight="1" thickBot="1" x14ac:dyDescent="0.3">
      <c r="B43" s="34" t="s">
        <v>56</v>
      </c>
      <c r="C43" s="46" t="s">
        <v>57</v>
      </c>
      <c r="D43" s="34" t="s">
        <v>16</v>
      </c>
      <c r="E43" s="163"/>
      <c r="F43" s="163"/>
      <c r="G43" s="97"/>
      <c r="H43" s="97"/>
      <c r="I43" s="97"/>
      <c r="J43" s="97"/>
      <c r="K43" s="97"/>
      <c r="L43" s="164"/>
      <c r="M43" s="44"/>
      <c r="N43" s="39"/>
    </row>
    <row r="44" spans="2:14" ht="25.5" customHeight="1" thickBot="1" x14ac:dyDescent="0.3">
      <c r="B44" s="34" t="s">
        <v>58</v>
      </c>
      <c r="C44" s="46" t="s">
        <v>59</v>
      </c>
      <c r="D44" s="34" t="s">
        <v>16</v>
      </c>
      <c r="E44" s="163"/>
      <c r="F44" s="163"/>
      <c r="G44" s="97"/>
      <c r="H44" s="97"/>
      <c r="I44" s="97"/>
      <c r="J44" s="97"/>
      <c r="K44" s="97"/>
      <c r="L44" s="164"/>
      <c r="M44" s="44"/>
      <c r="N44" s="39"/>
    </row>
    <row r="45" spans="2:14" ht="25.5" customHeight="1" thickBot="1" x14ac:dyDescent="0.3">
      <c r="B45" s="34" t="s">
        <v>60</v>
      </c>
      <c r="C45" s="46" t="s">
        <v>61</v>
      </c>
      <c r="D45" s="34" t="s">
        <v>16</v>
      </c>
      <c r="E45" s="163"/>
      <c r="F45" s="163"/>
      <c r="G45" s="97"/>
      <c r="H45" s="97"/>
      <c r="I45" s="97"/>
      <c r="J45" s="97"/>
      <c r="K45" s="97"/>
      <c r="L45" s="164"/>
      <c r="M45" s="44"/>
      <c r="N45" s="39"/>
    </row>
    <row r="46" spans="2:14" ht="25.5" customHeight="1" thickBot="1" x14ac:dyDescent="0.3">
      <c r="B46" s="34" t="s">
        <v>62</v>
      </c>
      <c r="C46" s="46" t="s">
        <v>63</v>
      </c>
      <c r="D46" s="34" t="s">
        <v>16</v>
      </c>
      <c r="E46" s="163"/>
      <c r="F46" s="163"/>
      <c r="G46" s="97"/>
      <c r="H46" s="97"/>
      <c r="I46" s="97"/>
      <c r="J46" s="97"/>
      <c r="K46" s="97"/>
      <c r="L46" s="164"/>
      <c r="M46" s="44"/>
      <c r="N46" s="39"/>
    </row>
    <row r="47" spans="2:14" ht="25.5" customHeight="1" thickBot="1" x14ac:dyDescent="0.3">
      <c r="B47" s="34" t="s">
        <v>64</v>
      </c>
      <c r="C47" s="46" t="s">
        <v>65</v>
      </c>
      <c r="D47" s="34" t="s">
        <v>16</v>
      </c>
      <c r="E47" s="163"/>
      <c r="F47" s="163"/>
      <c r="G47" s="97"/>
      <c r="H47" s="97"/>
      <c r="I47" s="97"/>
      <c r="J47" s="97"/>
      <c r="K47" s="97"/>
      <c r="L47" s="164"/>
      <c r="M47" s="44"/>
      <c r="N47" s="39"/>
    </row>
    <row r="48" spans="2:14" ht="25.5" customHeight="1" thickBot="1" x14ac:dyDescent="0.3">
      <c r="B48" s="28" t="s">
        <v>66</v>
      </c>
      <c r="C48" s="46" t="s">
        <v>67</v>
      </c>
      <c r="D48" s="28" t="s">
        <v>16</v>
      </c>
      <c r="E48" s="163"/>
      <c r="F48" s="163"/>
      <c r="G48" s="97"/>
      <c r="H48" s="97"/>
      <c r="I48" s="97"/>
      <c r="J48" s="97"/>
      <c r="K48" s="97"/>
      <c r="L48" s="164"/>
      <c r="M48" s="44"/>
      <c r="N48" s="39"/>
    </row>
    <row r="49" spans="2:14" ht="25.5" customHeight="1" thickBot="1" x14ac:dyDescent="0.3">
      <c r="B49" s="29" t="s">
        <v>68</v>
      </c>
      <c r="C49" s="46" t="s">
        <v>69</v>
      </c>
      <c r="D49" s="29" t="s">
        <v>16</v>
      </c>
      <c r="E49" s="163"/>
      <c r="F49" s="163"/>
      <c r="G49" s="97"/>
      <c r="H49" s="97"/>
      <c r="I49" s="97"/>
      <c r="J49" s="97"/>
      <c r="K49" s="97"/>
      <c r="L49" s="164"/>
      <c r="M49" s="44"/>
      <c r="N49" s="39"/>
    </row>
    <row r="50" spans="2:14" ht="25.5" customHeight="1" thickBot="1" x14ac:dyDescent="0.3">
      <c r="B50" s="34" t="s">
        <v>70</v>
      </c>
      <c r="C50" s="46" t="s">
        <v>71</v>
      </c>
      <c r="D50" s="27" t="s">
        <v>16</v>
      </c>
      <c r="E50" s="163"/>
      <c r="F50" s="163"/>
      <c r="G50" s="97"/>
      <c r="H50" s="97"/>
      <c r="I50" s="97"/>
      <c r="J50" s="97"/>
      <c r="K50" s="97"/>
      <c r="L50" s="164"/>
      <c r="M50" s="44"/>
      <c r="N50" s="39"/>
    </row>
    <row r="51" spans="2:14" ht="25.5" customHeight="1" thickBot="1" x14ac:dyDescent="0.3">
      <c r="B51" s="34" t="s">
        <v>72</v>
      </c>
      <c r="C51" s="46" t="s">
        <v>73</v>
      </c>
      <c r="D51" s="27" t="s">
        <v>16</v>
      </c>
      <c r="E51" s="163"/>
      <c r="F51" s="163"/>
      <c r="G51" s="97"/>
      <c r="H51" s="97"/>
      <c r="I51" s="97"/>
      <c r="J51" s="97"/>
      <c r="K51" s="97"/>
      <c r="L51" s="164"/>
      <c r="M51" s="44"/>
      <c r="N51" s="39"/>
    </row>
    <row r="52" spans="2:14" ht="25.5" customHeight="1" thickBot="1" x14ac:dyDescent="0.3">
      <c r="B52" s="34" t="s">
        <v>74</v>
      </c>
      <c r="C52" s="46" t="s">
        <v>75</v>
      </c>
      <c r="D52" s="27" t="s">
        <v>16</v>
      </c>
      <c r="E52" s="163"/>
      <c r="F52" s="163"/>
      <c r="G52" s="97"/>
      <c r="H52" s="97"/>
      <c r="I52" s="97"/>
      <c r="J52" s="97"/>
      <c r="K52" s="97"/>
      <c r="L52" s="164"/>
      <c r="M52" s="44"/>
      <c r="N52" s="39"/>
    </row>
    <row r="53" spans="2:14" ht="25.5" customHeight="1" thickBot="1" x14ac:dyDescent="0.3">
      <c r="B53" s="34" t="s">
        <v>76</v>
      </c>
      <c r="C53" s="5" t="s">
        <v>77</v>
      </c>
      <c r="D53" s="27" t="s">
        <v>16</v>
      </c>
      <c r="E53" s="166"/>
      <c r="F53" s="166"/>
      <c r="G53" s="167"/>
      <c r="H53" s="156"/>
      <c r="I53" s="167"/>
      <c r="J53" s="167"/>
      <c r="K53" s="167"/>
      <c r="L53" s="168"/>
      <c r="M53" s="44"/>
      <c r="N53" s="39"/>
    </row>
    <row r="54" spans="2:14" x14ac:dyDescent="0.25">
      <c r="B54" s="51"/>
      <c r="F54" s="39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F55" s="39"/>
      <c r="G55" s="39"/>
      <c r="H55" s="39"/>
      <c r="I55" s="39"/>
      <c r="J55" s="39"/>
      <c r="K55" s="39"/>
      <c r="L55" s="39"/>
      <c r="M55" s="39"/>
      <c r="N55" s="39"/>
    </row>
  </sheetData>
  <sheetProtection algorithmName="SHA-512" hashValue="DsXr8lyyzhblmdjVrtMz4gJN1q3gYR6S+PTiUpJ8W7fCzX5XVACd3G93/FFi9TpoJFIvYs8rVfJV8BW/phxTYg==" saltValue="yiHNgXHx62KbVj+ckJfPBg==" spinCount="100000" sheet="1" selectLockedCells="1"/>
  <customSheetViews>
    <customSheetView guid="{EDFE284D-223A-49E7-8396-C31999A2537B}">
      <selection activeCell="C3" sqref="C3"/>
      <pageMargins left="0.7" right="0.7" top="0.75" bottom="0.75" header="0.3" footer="0.3"/>
    </customSheetView>
  </customSheetViews>
  <mergeCells count="93">
    <mergeCell ref="C3:H3"/>
    <mergeCell ref="A4:L4"/>
    <mergeCell ref="A1:L2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F26:F27"/>
    <mergeCell ref="H22:H23"/>
    <mergeCell ref="I22:I23"/>
    <mergeCell ref="E26:E27"/>
    <mergeCell ref="J22:J23"/>
    <mergeCell ref="K22:K23"/>
    <mergeCell ref="L22:L23"/>
    <mergeCell ref="B24:B25"/>
    <mergeCell ref="C24:C25"/>
    <mergeCell ref="D24:D25"/>
    <mergeCell ref="F24:F25"/>
    <mergeCell ref="G24:G25"/>
    <mergeCell ref="B22:B23"/>
    <mergeCell ref="C22:C23"/>
    <mergeCell ref="D22:D23"/>
    <mergeCell ref="F22:F23"/>
    <mergeCell ref="G22:G23"/>
    <mergeCell ref="E22:E23"/>
    <mergeCell ref="E24:E25"/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B20:B21"/>
    <mergeCell ref="C20:C21"/>
    <mergeCell ref="D20:D21"/>
    <mergeCell ref="F20:F21"/>
    <mergeCell ref="G20:G21"/>
    <mergeCell ref="H16:H17"/>
    <mergeCell ref="I16:I17"/>
    <mergeCell ref="J16:J17"/>
    <mergeCell ref="K16:K17"/>
    <mergeCell ref="L16:L17"/>
    <mergeCell ref="B18:B19"/>
    <mergeCell ref="C18:C19"/>
    <mergeCell ref="D18:D19"/>
    <mergeCell ref="F18:F19"/>
    <mergeCell ref="G18:G19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G12:G13"/>
    <mergeCell ref="A12:A25"/>
    <mergeCell ref="B12:B13"/>
    <mergeCell ref="C12:C13"/>
    <mergeCell ref="D12:D13"/>
    <mergeCell ref="F12:F13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G16:G17"/>
    <mergeCell ref="E12:E13"/>
    <mergeCell ref="E14:E15"/>
    <mergeCell ref="E16:E17"/>
    <mergeCell ref="E18:E19"/>
    <mergeCell ref="E20:E21"/>
  </mergeCells>
  <dataValidations count="10">
    <dataValidation type="whole" allowBlank="1" showInputMessage="1" showErrorMessage="1" error="Valor= 0 o 1 " sqref="F12:L15 L34:L35 F34:J35 K35 K39" xr:uid="{00000000-0002-0000-0200-000003000000}">
      <formula1>0</formula1>
      <formula2>1</formula2>
    </dataValidation>
    <dataValidation type="decimal" allowBlank="1" showInputMessage="1" showErrorMessage="1" error="Valor=0" sqref="F18:L19" xr:uid="{00000000-0002-0000-0200-000004000000}">
      <formula1>0</formula1>
      <formula2>0</formula2>
    </dataValidation>
    <dataValidation type="textLength" allowBlank="1" showInputMessage="1" showErrorMessage="1" error="El NIF introduit no és vàlid " sqref="C8" xr:uid="{46E046B7-8157-424D-BFB7-E6FD23A694DD}">
      <formula1>9</formula1>
      <formula2>9</formula2>
    </dataValidation>
    <dataValidation type="whole" allowBlank="1" showInputMessage="1" showErrorMessage="1" error="Valor= 0 o 1" sqref="F46:J53 L46:L53 K47:K53 K34" xr:uid="{00000000-0002-0000-0200-000000000000}">
      <formula1>0</formula1>
      <formula2>1</formula2>
    </dataValidation>
    <dataValidation type="whole" allowBlank="1" showInputMessage="1" showErrorMessage="1" error="Valor=1" sqref="F43:J43 L43 K43" xr:uid="{00000000-0002-0000-0200-000001000000}">
      <formula1>1</formula1>
      <formula2>1</formula2>
    </dataValidation>
    <dataValidation type="whole" allowBlank="1" showInputMessage="1" showErrorMessage="1" error="Valor=0 o 1 " sqref="F39:J39 L39" xr:uid="{00000000-0002-0000-0200-000002000000}">
      <formula1>0</formula1>
      <formula2>1</formula2>
    </dataValidation>
    <dataValidation type="whole" allowBlank="1" showInputMessage="1" showErrorMessage="1" error="Valor = 0 o 1 " sqref="K46" xr:uid="{C9D20166-FBA0-4913-8D92-0E69DD4DA857}">
      <formula1>0</formula1>
      <formula2>1</formula2>
    </dataValidation>
    <dataValidation type="whole" allowBlank="1" showInputMessage="1" showErrorMessage="1" error="Valor=0 o 1" sqref="E12:E13 E14:E15 E34 E35 E39 E46:E53" xr:uid="{D573D996-F13A-4828-9536-4534B8C46652}">
      <formula1>0</formula1>
      <formula2>1</formula2>
    </dataValidation>
    <dataValidation type="whole" operator="equal" allowBlank="1" showInputMessage="1" showErrorMessage="1" error="Valor=0 " sqref="E18:E19" xr:uid="{FACA9F3B-16D5-4A5D-840A-A5C7C537D16D}">
      <formula1>0</formula1>
    </dataValidation>
    <dataValidation type="whole" operator="equal" allowBlank="1" showInputMessage="1" showErrorMessage="1" error="Valor= 1" sqref="E43" xr:uid="{AE1F3383-19C3-46EB-BABE-3FB7ECEF0AD8}">
      <formula1>1</formula1>
    </dataValidation>
  </dataValidations>
  <pageMargins left="0.7" right="0.7" top="0.75" bottom="0.75" header="0.3" footer="0.3"/>
  <pageSetup paperSize="9" scale="32" fitToHeight="0" orientation="portrait" r:id="rId1"/>
  <headerFooter>
    <oddFooter>&amp;R&amp;7D.71
Versió 1, 19 de febrer de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56"/>
  <sheetViews>
    <sheetView topLeftCell="C6" zoomScale="70" zoomScaleNormal="70" workbookViewId="0">
      <selection activeCell="C6" sqref="C6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3" width="11.42578125" style="4" customWidth="1"/>
    <col min="14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41">
        <f>codiexp1</f>
        <v>0</v>
      </c>
      <c r="BB5" s="4">
        <v>3</v>
      </c>
    </row>
    <row r="6" spans="1:54" ht="19.5" thickBot="1" x14ac:dyDescent="0.35">
      <c r="B6" s="2" t="s">
        <v>83</v>
      </c>
      <c r="C6" s="53" t="str">
        <f>+CONCATENATE(C5,"-03")</f>
        <v>0-03</v>
      </c>
    </row>
    <row r="7" spans="1:54" ht="16.5" thickBot="1" x14ac:dyDescent="0.3">
      <c r="B7" s="2" t="s">
        <v>0</v>
      </c>
      <c r="C7" s="43"/>
    </row>
    <row r="8" spans="1:54" ht="16.5" thickBot="1" x14ac:dyDescent="0.3">
      <c r="B8" s="2" t="s">
        <v>80</v>
      </c>
      <c r="C8" s="43"/>
    </row>
    <row r="9" spans="1:54" ht="16.5" thickBot="1" x14ac:dyDescent="0.3">
      <c r="B9" s="2" t="s">
        <v>84</v>
      </c>
      <c r="C9" s="42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3">
        <v>2016</v>
      </c>
      <c r="F11" s="2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L11" s="3">
        <v>2023</v>
      </c>
    </row>
    <row r="12" spans="1:54" ht="15" customHeight="1" x14ac:dyDescent="0.25">
      <c r="A12" s="235" t="s">
        <v>4</v>
      </c>
      <c r="B12" s="212" t="s">
        <v>5</v>
      </c>
      <c r="C12" s="214" t="s">
        <v>6</v>
      </c>
      <c r="D12" s="214" t="s">
        <v>7</v>
      </c>
      <c r="E12" s="247"/>
      <c r="F12" s="247"/>
      <c r="G12" s="250"/>
      <c r="H12" s="250"/>
      <c r="I12" s="250"/>
      <c r="J12" s="250"/>
      <c r="K12" s="250"/>
      <c r="L12" s="253"/>
      <c r="M12" s="39"/>
      <c r="N12" s="39"/>
      <c r="O12" s="39"/>
    </row>
    <row r="13" spans="1:54" ht="15.75" customHeight="1" thickBot="1" x14ac:dyDescent="0.3">
      <c r="A13" s="236"/>
      <c r="B13" s="213"/>
      <c r="C13" s="215"/>
      <c r="D13" s="215"/>
      <c r="E13" s="248"/>
      <c r="F13" s="248"/>
      <c r="G13" s="251"/>
      <c r="H13" s="251"/>
      <c r="I13" s="251"/>
      <c r="J13" s="251"/>
      <c r="K13" s="251"/>
      <c r="L13" s="254"/>
      <c r="M13" s="39"/>
      <c r="N13" s="39"/>
      <c r="O13" s="39"/>
    </row>
    <row r="14" spans="1:54" ht="15" customHeight="1" x14ac:dyDescent="0.25">
      <c r="A14" s="236"/>
      <c r="B14" s="212" t="s">
        <v>8</v>
      </c>
      <c r="C14" s="214" t="s">
        <v>9</v>
      </c>
      <c r="D14" s="214" t="s">
        <v>10</v>
      </c>
      <c r="E14" s="249"/>
      <c r="F14" s="249"/>
      <c r="G14" s="252"/>
      <c r="H14" s="252"/>
      <c r="I14" s="252"/>
      <c r="J14" s="252"/>
      <c r="K14" s="252"/>
      <c r="L14" s="255"/>
      <c r="M14" s="39"/>
      <c r="N14" s="39"/>
      <c r="O14" s="39"/>
    </row>
    <row r="15" spans="1:54" ht="15.75" customHeight="1" thickBot="1" x14ac:dyDescent="0.3">
      <c r="A15" s="236"/>
      <c r="B15" s="213"/>
      <c r="C15" s="215"/>
      <c r="D15" s="215"/>
      <c r="E15" s="248"/>
      <c r="F15" s="248"/>
      <c r="G15" s="251"/>
      <c r="H15" s="251"/>
      <c r="I15" s="251"/>
      <c r="J15" s="251"/>
      <c r="K15" s="251"/>
      <c r="L15" s="254"/>
      <c r="M15" s="39"/>
      <c r="N15" s="39"/>
      <c r="O15" s="39"/>
    </row>
    <row r="16" spans="1:54" ht="15" customHeight="1" x14ac:dyDescent="0.25">
      <c r="A16" s="236"/>
      <c r="B16" s="212" t="s">
        <v>11</v>
      </c>
      <c r="C16" s="214" t="s">
        <v>12</v>
      </c>
      <c r="D16" s="214" t="s">
        <v>13</v>
      </c>
      <c r="E16" s="249"/>
      <c r="F16" s="249"/>
      <c r="G16" s="252"/>
      <c r="H16" s="252"/>
      <c r="I16" s="252"/>
      <c r="J16" s="252"/>
      <c r="K16" s="252"/>
      <c r="L16" s="255"/>
      <c r="M16" s="39"/>
      <c r="N16" s="39"/>
      <c r="O16" s="39"/>
    </row>
    <row r="17" spans="1:15" ht="15.75" customHeight="1" thickBot="1" x14ac:dyDescent="0.3">
      <c r="A17" s="236"/>
      <c r="B17" s="213"/>
      <c r="C17" s="215"/>
      <c r="D17" s="215"/>
      <c r="E17" s="248"/>
      <c r="F17" s="248"/>
      <c r="G17" s="251"/>
      <c r="H17" s="251"/>
      <c r="I17" s="251"/>
      <c r="J17" s="251"/>
      <c r="K17" s="251"/>
      <c r="L17" s="254"/>
      <c r="M17" s="39"/>
      <c r="N17" s="39"/>
      <c r="O17" s="39"/>
    </row>
    <row r="18" spans="1:15" ht="15" customHeight="1" x14ac:dyDescent="0.25">
      <c r="A18" s="236"/>
      <c r="B18" s="212" t="s">
        <v>14</v>
      </c>
      <c r="C18" s="214" t="s">
        <v>15</v>
      </c>
      <c r="D18" s="214" t="s">
        <v>16</v>
      </c>
      <c r="E18" s="249"/>
      <c r="F18" s="249"/>
      <c r="G18" s="252"/>
      <c r="H18" s="252"/>
      <c r="I18" s="252"/>
      <c r="J18" s="252"/>
      <c r="K18" s="252"/>
      <c r="L18" s="255"/>
      <c r="M18" s="39"/>
      <c r="N18" s="39"/>
      <c r="O18" s="39"/>
    </row>
    <row r="19" spans="1:15" ht="15.75" customHeight="1" thickBot="1" x14ac:dyDescent="0.3">
      <c r="A19" s="236"/>
      <c r="B19" s="213"/>
      <c r="C19" s="215"/>
      <c r="D19" s="215"/>
      <c r="E19" s="248"/>
      <c r="F19" s="248"/>
      <c r="G19" s="251"/>
      <c r="H19" s="251"/>
      <c r="I19" s="251"/>
      <c r="J19" s="251"/>
      <c r="K19" s="251"/>
      <c r="L19" s="254"/>
      <c r="M19" s="39"/>
      <c r="N19" s="39"/>
      <c r="O19" s="39"/>
    </row>
    <row r="20" spans="1:15" ht="15" customHeight="1" x14ac:dyDescent="0.25">
      <c r="A20" s="236"/>
      <c r="B20" s="212" t="s">
        <v>17</v>
      </c>
      <c r="C20" s="214" t="s">
        <v>18</v>
      </c>
      <c r="D20" s="214" t="s">
        <v>19</v>
      </c>
      <c r="E20" s="249"/>
      <c r="F20" s="249"/>
      <c r="G20" s="252"/>
      <c r="H20" s="252"/>
      <c r="I20" s="252"/>
      <c r="J20" s="252"/>
      <c r="K20" s="252"/>
      <c r="L20" s="255"/>
      <c r="M20" s="39"/>
      <c r="N20" s="39"/>
      <c r="O20" s="39"/>
    </row>
    <row r="21" spans="1:15" ht="15.75" customHeight="1" thickBot="1" x14ac:dyDescent="0.3">
      <c r="A21" s="236"/>
      <c r="B21" s="213"/>
      <c r="C21" s="215"/>
      <c r="D21" s="215"/>
      <c r="E21" s="248"/>
      <c r="F21" s="248"/>
      <c r="G21" s="251"/>
      <c r="H21" s="251"/>
      <c r="I21" s="251"/>
      <c r="J21" s="251"/>
      <c r="K21" s="251"/>
      <c r="L21" s="254"/>
      <c r="M21" s="39"/>
      <c r="N21" s="39"/>
      <c r="O21" s="39"/>
    </row>
    <row r="22" spans="1:15" ht="15" customHeight="1" x14ac:dyDescent="0.25">
      <c r="A22" s="236"/>
      <c r="B22" s="214" t="s">
        <v>20</v>
      </c>
      <c r="C22" s="214" t="s">
        <v>21</v>
      </c>
      <c r="D22" s="214" t="s">
        <v>22</v>
      </c>
      <c r="E22" s="249"/>
      <c r="F22" s="249"/>
      <c r="G22" s="252"/>
      <c r="H22" s="252"/>
      <c r="I22" s="252"/>
      <c r="J22" s="252"/>
      <c r="K22" s="252"/>
      <c r="L22" s="255"/>
      <c r="M22" s="39"/>
      <c r="N22" s="39"/>
      <c r="O22" s="39"/>
    </row>
    <row r="23" spans="1:15" ht="15.75" customHeight="1" thickBot="1" x14ac:dyDescent="0.3">
      <c r="A23" s="236"/>
      <c r="B23" s="215"/>
      <c r="C23" s="215"/>
      <c r="D23" s="215"/>
      <c r="E23" s="248"/>
      <c r="F23" s="248"/>
      <c r="G23" s="251"/>
      <c r="H23" s="251"/>
      <c r="I23" s="251"/>
      <c r="J23" s="251"/>
      <c r="K23" s="251"/>
      <c r="L23" s="254"/>
      <c r="M23" s="39"/>
      <c r="N23" s="39"/>
      <c r="O23" s="39"/>
    </row>
    <row r="24" spans="1:15" ht="15" customHeight="1" x14ac:dyDescent="0.25">
      <c r="A24" s="236"/>
      <c r="B24" s="214" t="s">
        <v>23</v>
      </c>
      <c r="C24" s="214" t="s">
        <v>24</v>
      </c>
      <c r="D24" s="214" t="s">
        <v>19</v>
      </c>
      <c r="E24" s="249"/>
      <c r="F24" s="249"/>
      <c r="G24" s="252"/>
      <c r="H24" s="252"/>
      <c r="I24" s="252"/>
      <c r="J24" s="252"/>
      <c r="K24" s="252"/>
      <c r="L24" s="255"/>
      <c r="M24" s="39"/>
      <c r="N24" s="39"/>
      <c r="O24" s="39"/>
    </row>
    <row r="25" spans="1:15" ht="15.75" customHeight="1" thickBot="1" x14ac:dyDescent="0.3">
      <c r="A25" s="237"/>
      <c r="B25" s="215"/>
      <c r="C25" s="215"/>
      <c r="D25" s="215"/>
      <c r="E25" s="256"/>
      <c r="F25" s="256"/>
      <c r="G25" s="257"/>
      <c r="H25" s="257"/>
      <c r="I25" s="257"/>
      <c r="J25" s="257"/>
      <c r="K25" s="257"/>
      <c r="L25" s="260"/>
      <c r="M25" s="39"/>
      <c r="N25" s="39"/>
      <c r="O25" s="39"/>
    </row>
    <row r="26" spans="1:15" ht="15" customHeight="1" x14ac:dyDescent="0.25">
      <c r="A26" s="235" t="s">
        <v>25</v>
      </c>
      <c r="B26" s="214" t="s">
        <v>26</v>
      </c>
      <c r="C26" s="214" t="s">
        <v>27</v>
      </c>
      <c r="D26" s="214" t="s">
        <v>13</v>
      </c>
      <c r="E26" s="258"/>
      <c r="F26" s="258"/>
      <c r="G26" s="259"/>
      <c r="H26" s="259"/>
      <c r="I26" s="259"/>
      <c r="J26" s="259"/>
      <c r="K26" s="259"/>
      <c r="L26" s="259"/>
      <c r="M26" s="39"/>
      <c r="N26" s="39"/>
      <c r="O26" s="39"/>
    </row>
    <row r="27" spans="1:15" ht="15.75" customHeight="1" thickBot="1" x14ac:dyDescent="0.3">
      <c r="A27" s="237"/>
      <c r="B27" s="215"/>
      <c r="C27" s="215"/>
      <c r="D27" s="215"/>
      <c r="E27" s="256"/>
      <c r="F27" s="256"/>
      <c r="G27" s="257"/>
      <c r="H27" s="257"/>
      <c r="I27" s="257"/>
      <c r="J27" s="257"/>
      <c r="K27" s="257"/>
      <c r="L27" s="257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3">
        <v>2016</v>
      </c>
      <c r="F28" s="2">
        <v>2017</v>
      </c>
      <c r="G28" s="2">
        <v>2018</v>
      </c>
      <c r="H28" s="3">
        <v>2019</v>
      </c>
      <c r="I28" s="3">
        <v>2020</v>
      </c>
      <c r="J28" s="3">
        <v>2021</v>
      </c>
      <c r="K28" s="3">
        <v>2022</v>
      </c>
      <c r="L28" s="3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25" t="s">
        <v>13</v>
      </c>
      <c r="E29"/>
      <c r="F29" s="160"/>
      <c r="G29" s="161"/>
      <c r="H29" s="161"/>
      <c r="I29" s="161"/>
      <c r="J29" s="161"/>
      <c r="K29" s="161"/>
      <c r="L29" s="162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27" t="s">
        <v>13</v>
      </c>
      <c r="E30" s="163"/>
      <c r="F30" s="163"/>
      <c r="G30" s="97"/>
      <c r="H30" s="97"/>
      <c r="I30" s="97"/>
      <c r="J30" s="97"/>
      <c r="K30" s="97"/>
      <c r="L30" s="164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27" t="s">
        <v>16</v>
      </c>
      <c r="E31" s="172"/>
      <c r="F31" s="163"/>
      <c r="G31" s="97"/>
      <c r="H31" s="97"/>
      <c r="I31" s="97"/>
      <c r="J31" s="97"/>
      <c r="K31" s="97"/>
      <c r="L31" s="164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27" t="s">
        <v>16</v>
      </c>
      <c r="E32" s="172"/>
      <c r="F32" s="163"/>
      <c r="G32" s="97"/>
      <c r="H32" s="97"/>
      <c r="I32" s="97"/>
      <c r="J32" s="97"/>
      <c r="K32" s="97"/>
      <c r="L32" s="164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27" t="s">
        <v>16</v>
      </c>
      <c r="E33" s="172"/>
      <c r="F33" s="152"/>
      <c r="G33" s="98"/>
      <c r="H33" s="98"/>
      <c r="I33" s="98"/>
      <c r="J33" s="98"/>
      <c r="K33" s="98"/>
      <c r="L33" s="153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27" t="s">
        <v>16</v>
      </c>
      <c r="E34" s="172"/>
      <c r="F34" s="152"/>
      <c r="G34" s="103"/>
      <c r="H34" s="103"/>
      <c r="I34" s="103"/>
      <c r="J34" s="103"/>
      <c r="K34" s="103"/>
      <c r="L34" s="165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27" t="s">
        <v>16</v>
      </c>
      <c r="E35" s="172"/>
      <c r="F35" s="152"/>
      <c r="G35" s="103"/>
      <c r="H35" s="103"/>
      <c r="I35" s="103"/>
      <c r="J35" s="103"/>
      <c r="K35" s="103"/>
      <c r="L35" s="165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34" t="s">
        <v>16</v>
      </c>
      <c r="E36" s="172"/>
      <c r="F36" s="152"/>
      <c r="G36" s="98"/>
      <c r="H36" s="98"/>
      <c r="I36" s="98"/>
      <c r="J36" s="98"/>
      <c r="K36" s="98"/>
      <c r="L36" s="153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35" t="s">
        <v>16</v>
      </c>
      <c r="E37" s="172"/>
      <c r="F37" s="152"/>
      <c r="G37" s="98"/>
      <c r="H37" s="98"/>
      <c r="I37" s="98"/>
      <c r="J37" s="98"/>
      <c r="K37" s="98"/>
      <c r="L37" s="153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34" t="s">
        <v>16</v>
      </c>
      <c r="E38" s="172"/>
      <c r="F38" s="152"/>
      <c r="G38" s="98"/>
      <c r="H38" s="98"/>
      <c r="I38" s="98"/>
      <c r="J38" s="98"/>
      <c r="K38" s="98"/>
      <c r="L38" s="153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36" t="s">
        <v>16</v>
      </c>
      <c r="E39" s="172"/>
      <c r="F39" s="152"/>
      <c r="G39" s="103"/>
      <c r="H39" s="103"/>
      <c r="I39" s="103"/>
      <c r="J39" s="103"/>
      <c r="K39" s="103"/>
      <c r="L39" s="165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36" t="s">
        <v>16</v>
      </c>
      <c r="E40" s="172"/>
      <c r="F40" s="152"/>
      <c r="G40" s="98"/>
      <c r="H40" s="98"/>
      <c r="I40" s="98"/>
      <c r="J40" s="98"/>
      <c r="K40" s="98"/>
      <c r="L40" s="153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34" t="s">
        <v>16</v>
      </c>
      <c r="E41" s="163"/>
      <c r="F41" s="152"/>
      <c r="G41" s="98"/>
      <c r="H41" s="98"/>
      <c r="I41" s="98"/>
      <c r="J41" s="98"/>
      <c r="K41" s="98"/>
      <c r="L41" s="153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34" t="s">
        <v>16</v>
      </c>
      <c r="E42" s="163"/>
      <c r="F42" s="152"/>
      <c r="G42" s="98"/>
      <c r="H42" s="98"/>
      <c r="I42" s="98"/>
      <c r="J42" s="98"/>
      <c r="K42" s="98"/>
      <c r="L42" s="153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34" t="s">
        <v>16</v>
      </c>
      <c r="E43" s="172"/>
      <c r="F43" s="152"/>
      <c r="G43" s="103"/>
      <c r="H43" s="103"/>
      <c r="I43" s="103"/>
      <c r="J43" s="103"/>
      <c r="K43" s="103"/>
      <c r="L43" s="165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34" t="s">
        <v>16</v>
      </c>
      <c r="E44" s="172"/>
      <c r="F44" s="152"/>
      <c r="G44" s="98"/>
      <c r="H44" s="98"/>
      <c r="I44" s="98"/>
      <c r="J44" s="98"/>
      <c r="K44" s="98"/>
      <c r="L44" s="153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34" t="s">
        <v>16</v>
      </c>
      <c r="E45" s="172"/>
      <c r="F45" s="152"/>
      <c r="G45" s="98"/>
      <c r="H45" s="98"/>
      <c r="I45" s="98"/>
      <c r="J45" s="98"/>
      <c r="K45" s="98"/>
      <c r="L45" s="153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34" t="s">
        <v>16</v>
      </c>
      <c r="E46" s="172"/>
      <c r="F46" s="152"/>
      <c r="G46" s="98"/>
      <c r="H46" s="98"/>
      <c r="I46" s="98"/>
      <c r="J46" s="98"/>
      <c r="K46" s="98"/>
      <c r="L46" s="153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34" t="s">
        <v>16</v>
      </c>
      <c r="E47" s="172"/>
      <c r="F47" s="152"/>
      <c r="G47" s="98"/>
      <c r="H47" s="98"/>
      <c r="I47" s="98"/>
      <c r="J47" s="98"/>
      <c r="K47" s="98"/>
      <c r="L47" s="153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28" t="s">
        <v>16</v>
      </c>
      <c r="E48" s="172"/>
      <c r="F48" s="152"/>
      <c r="G48" s="98"/>
      <c r="H48" s="98"/>
      <c r="I48" s="98"/>
      <c r="J48" s="98"/>
      <c r="K48" s="98"/>
      <c r="L48" s="153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29" t="s">
        <v>16</v>
      </c>
      <c r="E49" s="172"/>
      <c r="F49" s="152"/>
      <c r="G49" s="98"/>
      <c r="H49" s="98"/>
      <c r="I49" s="98"/>
      <c r="J49" s="98"/>
      <c r="K49" s="98"/>
      <c r="L49" s="153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27" t="s">
        <v>16</v>
      </c>
      <c r="E50" s="172"/>
      <c r="F50" s="152"/>
      <c r="G50" s="98"/>
      <c r="H50" s="98"/>
      <c r="I50" s="98"/>
      <c r="J50" s="98"/>
      <c r="K50" s="98"/>
      <c r="L50" s="153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27" t="s">
        <v>16</v>
      </c>
      <c r="E51" s="172"/>
      <c r="F51" s="152"/>
      <c r="G51" s="98"/>
      <c r="H51" s="98"/>
      <c r="I51" s="98"/>
      <c r="J51" s="98"/>
      <c r="K51" s="98"/>
      <c r="L51" s="153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27" t="s">
        <v>16</v>
      </c>
      <c r="E52" s="172"/>
      <c r="F52" s="152"/>
      <c r="G52" s="98"/>
      <c r="H52" s="98"/>
      <c r="I52" s="98"/>
      <c r="J52" s="98"/>
      <c r="K52" s="98"/>
      <c r="L52" s="153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27" t="s">
        <v>16</v>
      </c>
      <c r="E53" s="163"/>
      <c r="F53" s="155"/>
      <c r="G53" s="156"/>
      <c r="H53" s="156"/>
      <c r="I53" s="156"/>
      <c r="J53" s="156"/>
      <c r="K53" s="156"/>
      <c r="L53" s="157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j6fwB9yTJDQdzziMzHbB1smyF+2ZhqjYwKZ6m0vGt/+G74pHqe3sHPyQBXqD1zVt7l5yo1zj+cAsiRAz4zDd9w==" saltValue="qX0hH4Rso9QZARqDCy1j5A==" spinCount="100000" sheet="1" selectLockedCells="1"/>
  <customSheetViews>
    <customSheetView guid="{EDFE284D-223A-49E7-8396-C31999A2537B}">
      <selection activeCell="C19" sqref="C19:C20"/>
      <pageMargins left="0.7" right="0.7" top="0.75" bottom="0.75" header="0.3" footer="0.3"/>
    </customSheetView>
  </customSheetViews>
  <mergeCells count="93">
    <mergeCell ref="C3:H3"/>
    <mergeCell ref="A1:L2"/>
    <mergeCell ref="A4:L4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F26:F27"/>
    <mergeCell ref="H22:H23"/>
    <mergeCell ref="I22:I23"/>
    <mergeCell ref="E26:E27"/>
    <mergeCell ref="J22:J23"/>
    <mergeCell ref="K22:K23"/>
    <mergeCell ref="L22:L23"/>
    <mergeCell ref="B24:B25"/>
    <mergeCell ref="C24:C25"/>
    <mergeCell ref="D24:D25"/>
    <mergeCell ref="F24:F25"/>
    <mergeCell ref="G24:G25"/>
    <mergeCell ref="B22:B23"/>
    <mergeCell ref="C22:C23"/>
    <mergeCell ref="D22:D23"/>
    <mergeCell ref="F22:F23"/>
    <mergeCell ref="G22:G23"/>
    <mergeCell ref="E22:E23"/>
    <mergeCell ref="E24:E25"/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B20:B21"/>
    <mergeCell ref="C20:C21"/>
    <mergeCell ref="D20:D21"/>
    <mergeCell ref="F20:F21"/>
    <mergeCell ref="G20:G21"/>
    <mergeCell ref="H16:H17"/>
    <mergeCell ref="I16:I17"/>
    <mergeCell ref="J16:J17"/>
    <mergeCell ref="K16:K17"/>
    <mergeCell ref="L16:L17"/>
    <mergeCell ref="B18:B19"/>
    <mergeCell ref="C18:C19"/>
    <mergeCell ref="D18:D19"/>
    <mergeCell ref="F18:F19"/>
    <mergeCell ref="G18:G19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G12:G13"/>
    <mergeCell ref="A12:A25"/>
    <mergeCell ref="B12:B13"/>
    <mergeCell ref="C12:C13"/>
    <mergeCell ref="D12:D13"/>
    <mergeCell ref="F12:F13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G16:G17"/>
    <mergeCell ref="E12:E13"/>
    <mergeCell ref="E14:E15"/>
    <mergeCell ref="E16:E17"/>
    <mergeCell ref="E18:E19"/>
    <mergeCell ref="E20:E21"/>
  </mergeCells>
  <dataValidations count="9">
    <dataValidation type="whole" allowBlank="1" showErrorMessage="1" error="Valor= 0 o 1 _x000a_" sqref="F34:L34" xr:uid="{00000000-0002-0000-0300-000000000000}">
      <formula1>0</formula1>
      <formula2>1</formula2>
    </dataValidation>
    <dataValidation type="whole" allowBlank="1" showErrorMessage="1" error="Valor= 0 o 1 " promptTitle="jjjjj" sqref="F12:L15" xr:uid="{00000000-0002-0000-0300-000001000000}">
      <formula1>0</formula1>
      <formula2>1</formula2>
    </dataValidation>
    <dataValidation type="whole" allowBlank="1" showInputMessage="1" showErrorMessage="1" error="Valor=0 _x000a_" sqref="F18:L19" xr:uid="{00000000-0002-0000-0300-000002000000}">
      <formula1>0</formula1>
      <formula2>0</formula2>
    </dataValidation>
    <dataValidation type="whole" allowBlank="1" showInputMessage="1" showErrorMessage="1" error="Valor= 0 o 1 _x000a_" sqref="F35:L35 F39:L39" xr:uid="{00000000-0002-0000-0300-000003000000}">
      <formula1>0</formula1>
      <formula2>1</formula2>
    </dataValidation>
    <dataValidation type="whole" allowBlank="1" showInputMessage="1" showErrorMessage="1" error="Valor=1" sqref="F43:L43" xr:uid="{00000000-0002-0000-0300-000004000000}">
      <formula1>1</formula1>
      <formula2>1</formula2>
    </dataValidation>
    <dataValidation type="whole" allowBlank="1" showInputMessage="1" showErrorMessage="1" error="Valor=0 o 1" sqref="F46:L53 E35 E34 E12:E13 E14:E15 E39 E46 E47 E49 E48 E50 E51 E52 E53" xr:uid="{00000000-0002-0000-0300-000005000000}">
      <formula1>0</formula1>
      <formula2>1</formula2>
    </dataValidation>
    <dataValidation type="textLength" allowBlank="1" showInputMessage="1" showErrorMessage="1" error="El NIF introduit no és vàlid " sqref="C8" xr:uid="{D3099D5D-DB23-4D8B-97C8-CCCDB19C9496}">
      <formula1>9</formula1>
      <formula2>9</formula2>
    </dataValidation>
    <dataValidation type="whole" operator="equal" allowBlank="1" showInputMessage="1" showErrorMessage="1" error="Valor=0 " sqref="E18:E19" xr:uid="{85460B68-DCC9-4EA4-BA01-393299D641AC}">
      <formula1>0</formula1>
    </dataValidation>
    <dataValidation type="whole" operator="equal" allowBlank="1" showInputMessage="1" showErrorMessage="1" error="Valor= 1" sqref="E43" xr:uid="{A82BFEA2-5D07-4CC5-85E5-15BBC8692322}">
      <formula1>1</formula1>
    </dataValidation>
  </dataValidations>
  <pageMargins left="0.7" right="0.7" top="0.75" bottom="0.75" header="0.3" footer="0.3"/>
  <pageSetup paperSize="9" scale="49" fitToHeight="0" orientation="landscape" r:id="rId1"/>
  <headerFooter>
    <oddFooter>&amp;R&amp;7D.71
Versió 1, 19 de febrer de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606A-C40D-4D69-8863-BC748EDBB8F4}">
  <dimension ref="A1:BB56"/>
  <sheetViews>
    <sheetView topLeftCell="C7" zoomScale="70" zoomScaleNormal="70" workbookViewId="0">
      <selection activeCell="F16" sqref="F16:F17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77">
        <f>codiexp1</f>
        <v>0</v>
      </c>
      <c r="BB5" s="4">
        <v>3</v>
      </c>
    </row>
    <row r="6" spans="1:54" ht="16.5" thickBot="1" x14ac:dyDescent="0.3">
      <c r="B6" s="2" t="s">
        <v>83</v>
      </c>
      <c r="C6" s="78" t="str">
        <f>+CONCATENATE(C5,"-04")</f>
        <v>0-04</v>
      </c>
    </row>
    <row r="7" spans="1:54" ht="16.5" thickBot="1" x14ac:dyDescent="0.3">
      <c r="B7" s="2" t="s">
        <v>0</v>
      </c>
      <c r="C7" s="148"/>
    </row>
    <row r="8" spans="1:54" ht="16.5" thickBot="1" x14ac:dyDescent="0.3">
      <c r="B8" s="2" t="s">
        <v>80</v>
      </c>
      <c r="C8" s="148"/>
    </row>
    <row r="9" spans="1:54" ht="16.5" thickBot="1" x14ac:dyDescent="0.3">
      <c r="B9" s="2" t="s">
        <v>84</v>
      </c>
      <c r="C9" s="79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3">
        <v>2016</v>
      </c>
      <c r="F11" s="2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L11" s="3">
        <v>2023</v>
      </c>
    </row>
    <row r="12" spans="1:54" ht="15.75" customHeight="1" x14ac:dyDescent="0.25">
      <c r="A12" s="235" t="s">
        <v>4</v>
      </c>
      <c r="B12" s="212" t="s">
        <v>5</v>
      </c>
      <c r="C12" s="214" t="s">
        <v>6</v>
      </c>
      <c r="D12" s="261" t="s">
        <v>7</v>
      </c>
      <c r="E12" s="239"/>
      <c r="F12" s="238"/>
      <c r="G12" s="233"/>
      <c r="H12" s="233"/>
      <c r="I12" s="233"/>
      <c r="J12" s="233"/>
      <c r="K12" s="233"/>
      <c r="L12" s="240"/>
      <c r="M12" s="39"/>
      <c r="N12" s="39"/>
      <c r="O12" s="39"/>
    </row>
    <row r="13" spans="1:54" ht="16.5" customHeight="1" thickBot="1" x14ac:dyDescent="0.3">
      <c r="A13" s="236"/>
      <c r="B13" s="213"/>
      <c r="C13" s="215"/>
      <c r="D13" s="262"/>
      <c r="E13" s="239"/>
      <c r="F13" s="239"/>
      <c r="G13" s="234"/>
      <c r="H13" s="234"/>
      <c r="I13" s="234"/>
      <c r="J13" s="234"/>
      <c r="K13" s="234"/>
      <c r="L13" s="241"/>
      <c r="M13" s="39"/>
      <c r="N13" s="39"/>
      <c r="O13" s="39"/>
    </row>
    <row r="14" spans="1:54" ht="15.75" customHeight="1" x14ac:dyDescent="0.25">
      <c r="A14" s="236"/>
      <c r="B14" s="212" t="s">
        <v>8</v>
      </c>
      <c r="C14" s="214" t="s">
        <v>9</v>
      </c>
      <c r="D14" s="261" t="s">
        <v>10</v>
      </c>
      <c r="E14" s="239"/>
      <c r="F14" s="239"/>
      <c r="G14" s="234"/>
      <c r="H14" s="234"/>
      <c r="I14" s="234"/>
      <c r="J14" s="234"/>
      <c r="K14" s="234"/>
      <c r="L14" s="241"/>
      <c r="M14" s="39"/>
      <c r="N14" s="39"/>
      <c r="O14" s="39"/>
    </row>
    <row r="15" spans="1:54" ht="16.5" customHeight="1" thickBot="1" x14ac:dyDescent="0.3">
      <c r="A15" s="236"/>
      <c r="B15" s="213"/>
      <c r="C15" s="215"/>
      <c r="D15" s="262"/>
      <c r="E15" s="239"/>
      <c r="F15" s="239"/>
      <c r="G15" s="234"/>
      <c r="H15" s="234"/>
      <c r="I15" s="234"/>
      <c r="J15" s="234"/>
      <c r="K15" s="234"/>
      <c r="L15" s="241"/>
      <c r="M15" s="39"/>
      <c r="N15" s="39"/>
      <c r="O15" s="39"/>
    </row>
    <row r="16" spans="1:54" ht="15.75" customHeight="1" x14ac:dyDescent="0.25">
      <c r="A16" s="236"/>
      <c r="B16" s="212" t="s">
        <v>11</v>
      </c>
      <c r="C16" s="214" t="s">
        <v>12</v>
      </c>
      <c r="D16" s="261" t="s">
        <v>13</v>
      </c>
      <c r="E16" s="239"/>
      <c r="F16" s="239"/>
      <c r="G16" s="234"/>
      <c r="H16" s="234"/>
      <c r="I16" s="234"/>
      <c r="J16" s="234"/>
      <c r="K16" s="234"/>
      <c r="L16" s="241"/>
      <c r="M16" s="39"/>
      <c r="N16" s="39"/>
      <c r="O16" s="39"/>
    </row>
    <row r="17" spans="1:15" ht="16.5" customHeight="1" thickBot="1" x14ac:dyDescent="0.3">
      <c r="A17" s="236"/>
      <c r="B17" s="213"/>
      <c r="C17" s="215"/>
      <c r="D17" s="262"/>
      <c r="E17" s="239"/>
      <c r="F17" s="239"/>
      <c r="G17" s="234"/>
      <c r="H17" s="234"/>
      <c r="I17" s="234"/>
      <c r="J17" s="234"/>
      <c r="K17" s="234"/>
      <c r="L17" s="241"/>
      <c r="M17" s="39"/>
      <c r="N17" s="39"/>
      <c r="O17" s="39"/>
    </row>
    <row r="18" spans="1:15" ht="15.75" customHeight="1" x14ac:dyDescent="0.25">
      <c r="A18" s="236"/>
      <c r="B18" s="212" t="s">
        <v>14</v>
      </c>
      <c r="C18" s="214" t="s">
        <v>15</v>
      </c>
      <c r="D18" s="261" t="s">
        <v>16</v>
      </c>
      <c r="E18" s="239"/>
      <c r="F18" s="239"/>
      <c r="G18" s="234"/>
      <c r="H18" s="234"/>
      <c r="I18" s="234"/>
      <c r="J18" s="234"/>
      <c r="K18" s="234"/>
      <c r="L18" s="241"/>
      <c r="M18" s="39"/>
      <c r="N18" s="39"/>
      <c r="O18" s="39"/>
    </row>
    <row r="19" spans="1:15" ht="16.5" customHeight="1" thickBot="1" x14ac:dyDescent="0.3">
      <c r="A19" s="236"/>
      <c r="B19" s="213"/>
      <c r="C19" s="215"/>
      <c r="D19" s="262"/>
      <c r="E19" s="239"/>
      <c r="F19" s="239"/>
      <c r="G19" s="234"/>
      <c r="H19" s="234"/>
      <c r="I19" s="234"/>
      <c r="J19" s="234"/>
      <c r="K19" s="234"/>
      <c r="L19" s="241"/>
      <c r="M19" s="39"/>
      <c r="N19" s="39"/>
      <c r="O19" s="39"/>
    </row>
    <row r="20" spans="1:15" ht="15.75" customHeight="1" x14ac:dyDescent="0.25">
      <c r="A20" s="236"/>
      <c r="B20" s="212" t="s">
        <v>17</v>
      </c>
      <c r="C20" s="214" t="s">
        <v>18</v>
      </c>
      <c r="D20" s="261" t="s">
        <v>19</v>
      </c>
      <c r="E20" s="239"/>
      <c r="F20" s="239"/>
      <c r="G20" s="234"/>
      <c r="H20" s="234"/>
      <c r="I20" s="234"/>
      <c r="J20" s="234"/>
      <c r="K20" s="234"/>
      <c r="L20" s="241"/>
      <c r="M20" s="39"/>
      <c r="N20" s="39"/>
      <c r="O20" s="39"/>
    </row>
    <row r="21" spans="1:15" ht="16.5" customHeight="1" thickBot="1" x14ac:dyDescent="0.3">
      <c r="A21" s="236"/>
      <c r="B21" s="213"/>
      <c r="C21" s="215"/>
      <c r="D21" s="262"/>
      <c r="E21" s="239"/>
      <c r="F21" s="239"/>
      <c r="G21" s="234"/>
      <c r="H21" s="234"/>
      <c r="I21" s="234"/>
      <c r="J21" s="234"/>
      <c r="K21" s="234"/>
      <c r="L21" s="241"/>
      <c r="M21" s="39"/>
      <c r="N21" s="39"/>
      <c r="O21" s="39"/>
    </row>
    <row r="22" spans="1:15" ht="15.75" customHeight="1" x14ac:dyDescent="0.25">
      <c r="A22" s="236"/>
      <c r="B22" s="214" t="s">
        <v>20</v>
      </c>
      <c r="C22" s="214" t="s">
        <v>21</v>
      </c>
      <c r="D22" s="261" t="s">
        <v>22</v>
      </c>
      <c r="E22" s="239"/>
      <c r="F22" s="239"/>
      <c r="G22" s="234"/>
      <c r="H22" s="234"/>
      <c r="I22" s="234"/>
      <c r="J22" s="234"/>
      <c r="K22" s="234"/>
      <c r="L22" s="241"/>
      <c r="M22" s="39"/>
      <c r="N22" s="39"/>
      <c r="O22" s="39"/>
    </row>
    <row r="23" spans="1:15" ht="16.5" customHeight="1" thickBot="1" x14ac:dyDescent="0.3">
      <c r="A23" s="236"/>
      <c r="B23" s="215"/>
      <c r="C23" s="215"/>
      <c r="D23" s="262"/>
      <c r="E23" s="239"/>
      <c r="F23" s="239"/>
      <c r="G23" s="234"/>
      <c r="H23" s="234"/>
      <c r="I23" s="234"/>
      <c r="J23" s="234"/>
      <c r="K23" s="234"/>
      <c r="L23" s="241"/>
      <c r="M23" s="39"/>
      <c r="N23" s="39"/>
      <c r="O23" s="39"/>
    </row>
    <row r="24" spans="1:15" ht="15.75" customHeight="1" x14ac:dyDescent="0.25">
      <c r="A24" s="236"/>
      <c r="B24" s="214" t="s">
        <v>23</v>
      </c>
      <c r="C24" s="214" t="s">
        <v>24</v>
      </c>
      <c r="D24" s="261" t="s">
        <v>19</v>
      </c>
      <c r="E24" s="239"/>
      <c r="F24" s="239"/>
      <c r="G24" s="234"/>
      <c r="H24" s="234"/>
      <c r="I24" s="234"/>
      <c r="J24" s="234"/>
      <c r="K24" s="234"/>
      <c r="L24" s="241"/>
      <c r="M24" s="39"/>
      <c r="N24" s="39"/>
      <c r="O24" s="39"/>
    </row>
    <row r="25" spans="1:15" ht="16.5" customHeight="1" thickBot="1" x14ac:dyDescent="0.3">
      <c r="A25" s="237"/>
      <c r="B25" s="215"/>
      <c r="C25" s="215"/>
      <c r="D25" s="262"/>
      <c r="E25" s="239"/>
      <c r="F25" s="239"/>
      <c r="G25" s="234"/>
      <c r="H25" s="234"/>
      <c r="I25" s="234"/>
      <c r="J25" s="234"/>
      <c r="K25" s="234"/>
      <c r="L25" s="241"/>
      <c r="M25" s="39"/>
      <c r="N25" s="39"/>
      <c r="O25" s="39"/>
    </row>
    <row r="26" spans="1:15" ht="15.75" customHeight="1" x14ac:dyDescent="0.25">
      <c r="A26" s="235" t="s">
        <v>25</v>
      </c>
      <c r="B26" s="214" t="s">
        <v>26</v>
      </c>
      <c r="C26" s="214" t="s">
        <v>27</v>
      </c>
      <c r="D26" s="261" t="s">
        <v>13</v>
      </c>
      <c r="E26" s="239"/>
      <c r="F26" s="239"/>
      <c r="G26" s="234"/>
      <c r="H26" s="234"/>
      <c r="I26" s="234"/>
      <c r="J26" s="234"/>
      <c r="K26" s="234"/>
      <c r="L26" s="241"/>
      <c r="M26" s="39"/>
      <c r="N26" s="39"/>
      <c r="O26" s="39"/>
    </row>
    <row r="27" spans="1:15" ht="15.75" customHeight="1" thickBot="1" x14ac:dyDescent="0.3">
      <c r="A27" s="237"/>
      <c r="B27" s="215"/>
      <c r="C27" s="215"/>
      <c r="D27" s="262"/>
      <c r="E27" s="239"/>
      <c r="F27" s="242"/>
      <c r="G27" s="245"/>
      <c r="H27" s="245"/>
      <c r="I27" s="245"/>
      <c r="J27" s="245"/>
      <c r="K27" s="245"/>
      <c r="L27" s="246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105" t="s">
        <v>3</v>
      </c>
      <c r="E28" s="105">
        <v>2016</v>
      </c>
      <c r="F28" s="2">
        <v>2017</v>
      </c>
      <c r="G28" s="3">
        <v>2018</v>
      </c>
      <c r="H28" s="3">
        <v>2019</v>
      </c>
      <c r="I28" s="3">
        <v>2020</v>
      </c>
      <c r="J28" s="3">
        <v>2021</v>
      </c>
      <c r="K28" s="3">
        <v>2022</v>
      </c>
      <c r="L28" s="3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80" t="s">
        <v>13</v>
      </c>
      <c r="E29" s="173"/>
      <c r="F29" s="99"/>
      <c r="G29" s="100"/>
      <c r="H29" s="100"/>
      <c r="I29" s="100"/>
      <c r="J29" s="100"/>
      <c r="K29" s="100"/>
      <c r="L29" s="159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81" t="s">
        <v>13</v>
      </c>
      <c r="E30" s="173"/>
      <c r="F30" s="152"/>
      <c r="G30" s="98"/>
      <c r="H30" s="98"/>
      <c r="I30" s="98"/>
      <c r="J30" s="98"/>
      <c r="K30" s="98"/>
      <c r="L30" s="153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81" t="s">
        <v>16</v>
      </c>
      <c r="E31" s="173"/>
      <c r="F31" s="152"/>
      <c r="G31" s="98"/>
      <c r="H31" s="98"/>
      <c r="I31" s="98"/>
      <c r="J31" s="98"/>
      <c r="K31" s="98"/>
      <c r="L31" s="153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81" t="s">
        <v>16</v>
      </c>
      <c r="E32" s="173"/>
      <c r="F32" s="152"/>
      <c r="G32" s="98"/>
      <c r="H32" s="98"/>
      <c r="I32" s="98"/>
      <c r="J32" s="98"/>
      <c r="K32" s="98"/>
      <c r="L32" s="153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81" t="s">
        <v>16</v>
      </c>
      <c r="E33" s="173"/>
      <c r="F33" s="152"/>
      <c r="G33" s="98"/>
      <c r="H33" s="98"/>
      <c r="I33" s="98"/>
      <c r="J33" s="98"/>
      <c r="K33" s="98"/>
      <c r="L33" s="153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81" t="s">
        <v>16</v>
      </c>
      <c r="E34" s="173"/>
      <c r="F34" s="152"/>
      <c r="G34" s="98"/>
      <c r="H34" s="98"/>
      <c r="I34" s="98"/>
      <c r="J34" s="98"/>
      <c r="K34" s="98"/>
      <c r="L34" s="153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81" t="s">
        <v>16</v>
      </c>
      <c r="E35" s="173"/>
      <c r="F35" s="152"/>
      <c r="G35" s="98"/>
      <c r="H35" s="98"/>
      <c r="I35" s="98"/>
      <c r="J35" s="98"/>
      <c r="K35" s="98"/>
      <c r="L35" s="153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82" t="s">
        <v>16</v>
      </c>
      <c r="E36" s="173"/>
      <c r="F36" s="152"/>
      <c r="G36" s="98"/>
      <c r="H36" s="98"/>
      <c r="I36" s="98"/>
      <c r="J36" s="98"/>
      <c r="K36" s="98"/>
      <c r="L36" s="153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83" t="s">
        <v>16</v>
      </c>
      <c r="E37" s="173"/>
      <c r="F37" s="152"/>
      <c r="G37" s="98"/>
      <c r="H37" s="98"/>
      <c r="I37" s="98"/>
      <c r="J37" s="98"/>
      <c r="K37" s="98"/>
      <c r="L37" s="153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82" t="s">
        <v>16</v>
      </c>
      <c r="E38" s="173"/>
      <c r="F38" s="152"/>
      <c r="G38" s="98"/>
      <c r="H38" s="98"/>
      <c r="I38" s="98"/>
      <c r="J38" s="98"/>
      <c r="K38" s="98"/>
      <c r="L38" s="153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84" t="s">
        <v>16</v>
      </c>
      <c r="E39" s="173"/>
      <c r="F39" s="152"/>
      <c r="G39" s="98"/>
      <c r="H39" s="98"/>
      <c r="I39" s="98"/>
      <c r="J39" s="98"/>
      <c r="K39" s="98"/>
      <c r="L39" s="153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84" t="s">
        <v>16</v>
      </c>
      <c r="E40" s="173"/>
      <c r="F40" s="152"/>
      <c r="G40" s="98"/>
      <c r="H40" s="98"/>
      <c r="I40" s="98"/>
      <c r="J40" s="98"/>
      <c r="K40" s="98"/>
      <c r="L40" s="153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82" t="s">
        <v>16</v>
      </c>
      <c r="E41" s="173"/>
      <c r="F41" s="152"/>
      <c r="G41" s="98"/>
      <c r="H41" s="98"/>
      <c r="I41" s="98"/>
      <c r="J41" s="98"/>
      <c r="K41" s="98"/>
      <c r="L41" s="153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82" t="s">
        <v>16</v>
      </c>
      <c r="E42" s="173"/>
      <c r="F42" s="152"/>
      <c r="G42" s="98"/>
      <c r="H42" s="98"/>
      <c r="I42" s="98"/>
      <c r="J42" s="98"/>
      <c r="K42" s="98"/>
      <c r="L42" s="153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82" t="s">
        <v>16</v>
      </c>
      <c r="E43" s="173"/>
      <c r="F43" s="152"/>
      <c r="G43" s="98"/>
      <c r="H43" s="98"/>
      <c r="I43" s="98"/>
      <c r="J43" s="98"/>
      <c r="K43" s="98"/>
      <c r="L43" s="153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82" t="s">
        <v>16</v>
      </c>
      <c r="E44" s="173"/>
      <c r="F44" s="152"/>
      <c r="G44" s="98"/>
      <c r="H44" s="98"/>
      <c r="I44" s="98"/>
      <c r="J44" s="98"/>
      <c r="K44" s="98"/>
      <c r="L44" s="153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82" t="s">
        <v>16</v>
      </c>
      <c r="E45" s="173"/>
      <c r="F45" s="152"/>
      <c r="G45" s="98"/>
      <c r="H45" s="98"/>
      <c r="I45" s="98"/>
      <c r="J45" s="98"/>
      <c r="K45" s="98"/>
      <c r="L45" s="153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82" t="s">
        <v>16</v>
      </c>
      <c r="E46" s="173"/>
      <c r="F46" s="152"/>
      <c r="G46" s="98"/>
      <c r="H46" s="98"/>
      <c r="I46" s="98"/>
      <c r="J46" s="98"/>
      <c r="K46" s="98"/>
      <c r="L46" s="153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82" t="s">
        <v>16</v>
      </c>
      <c r="E47" s="173"/>
      <c r="F47" s="152"/>
      <c r="G47" s="98"/>
      <c r="H47" s="98"/>
      <c r="I47" s="98"/>
      <c r="J47" s="98"/>
      <c r="K47" s="98"/>
      <c r="L47" s="153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85" t="s">
        <v>16</v>
      </c>
      <c r="E48" s="173"/>
      <c r="F48" s="152"/>
      <c r="G48" s="98"/>
      <c r="H48" s="98"/>
      <c r="I48" s="98"/>
      <c r="J48" s="98"/>
      <c r="K48" s="98"/>
      <c r="L48" s="153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86" t="s">
        <v>16</v>
      </c>
      <c r="E49" s="173"/>
      <c r="F49" s="152"/>
      <c r="G49" s="98"/>
      <c r="H49" s="98"/>
      <c r="I49" s="98"/>
      <c r="J49" s="98"/>
      <c r="K49" s="98"/>
      <c r="L49" s="153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81" t="s">
        <v>16</v>
      </c>
      <c r="E50" s="173"/>
      <c r="F50" s="152"/>
      <c r="G50" s="98"/>
      <c r="H50" s="98"/>
      <c r="I50" s="98"/>
      <c r="J50" s="98"/>
      <c r="K50" s="98"/>
      <c r="L50" s="153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81" t="s">
        <v>16</v>
      </c>
      <c r="E51" s="173"/>
      <c r="F51" s="152"/>
      <c r="G51" s="98"/>
      <c r="H51" s="98"/>
      <c r="I51" s="98"/>
      <c r="J51" s="98"/>
      <c r="K51" s="98"/>
      <c r="L51" s="153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81" t="s">
        <v>16</v>
      </c>
      <c r="E52" s="173"/>
      <c r="F52" s="152"/>
      <c r="G52" s="98"/>
      <c r="H52" s="98"/>
      <c r="I52" s="98"/>
      <c r="J52" s="98"/>
      <c r="K52" s="98"/>
      <c r="L52" s="153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81" t="s">
        <v>16</v>
      </c>
      <c r="E53" s="173"/>
      <c r="F53" s="152"/>
      <c r="G53" s="152"/>
      <c r="H53" s="152"/>
      <c r="I53" s="152"/>
      <c r="J53" s="152"/>
      <c r="K53" s="152"/>
      <c r="L53" s="152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FLQFod+cXoG4wY0I0fmHO21JtXyKNGW6VCtNvAOFReZEHCffVJqWZauT8pnTvDaxpU0YBzDdVHoJLePVbupxKg==" saltValue="4eAuSqfvNIEjOkMlTXvg7w==" spinCount="100000" sheet="1" selectLockedCells="1"/>
  <mergeCells count="93">
    <mergeCell ref="B14:B15"/>
    <mergeCell ref="C14:C15"/>
    <mergeCell ref="H14:H15"/>
    <mergeCell ref="I14:I15"/>
    <mergeCell ref="C3:H3"/>
    <mergeCell ref="D14:D15"/>
    <mergeCell ref="F14:F15"/>
    <mergeCell ref="G14:G15"/>
    <mergeCell ref="E12:E13"/>
    <mergeCell ref="E14:E15"/>
    <mergeCell ref="A1:L2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  <mergeCell ref="L14:L15"/>
    <mergeCell ref="B16:B17"/>
    <mergeCell ref="C16:C17"/>
    <mergeCell ref="D16:D17"/>
    <mergeCell ref="F16:F17"/>
    <mergeCell ref="G16:G17"/>
    <mergeCell ref="E16:E17"/>
    <mergeCell ref="H16:H17"/>
    <mergeCell ref="I16:I17"/>
    <mergeCell ref="J16:J17"/>
    <mergeCell ref="K16:K17"/>
    <mergeCell ref="L16:L17"/>
    <mergeCell ref="B18:B19"/>
    <mergeCell ref="C18:C19"/>
    <mergeCell ref="D18:D19"/>
    <mergeCell ref="F18:F19"/>
    <mergeCell ref="G18:G19"/>
    <mergeCell ref="E18:E19"/>
    <mergeCell ref="H18:H19"/>
    <mergeCell ref="I18:I19"/>
    <mergeCell ref="J18:J19"/>
    <mergeCell ref="K18:K19"/>
    <mergeCell ref="L18:L19"/>
    <mergeCell ref="B20:B21"/>
    <mergeCell ref="C20:C21"/>
    <mergeCell ref="D20:D21"/>
    <mergeCell ref="F20:F21"/>
    <mergeCell ref="G20:G21"/>
    <mergeCell ref="E20:E21"/>
    <mergeCell ref="H20:H21"/>
    <mergeCell ref="I20:I21"/>
    <mergeCell ref="J20:J21"/>
    <mergeCell ref="K20:K21"/>
    <mergeCell ref="L20:L21"/>
    <mergeCell ref="B22:B23"/>
    <mergeCell ref="C22:C23"/>
    <mergeCell ref="D22:D23"/>
    <mergeCell ref="F22:F23"/>
    <mergeCell ref="G22:G23"/>
    <mergeCell ref="E22:E23"/>
    <mergeCell ref="H22:H23"/>
    <mergeCell ref="I22:I23"/>
    <mergeCell ref="J22:J23"/>
    <mergeCell ref="K22:K23"/>
    <mergeCell ref="L22:L23"/>
    <mergeCell ref="B24:B25"/>
    <mergeCell ref="C24:C25"/>
    <mergeCell ref="D24:D25"/>
    <mergeCell ref="F24:F25"/>
    <mergeCell ref="G24:G25"/>
    <mergeCell ref="E24:E25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F26:F27"/>
    <mergeCell ref="E26:E27"/>
    <mergeCell ref="L26:L27"/>
    <mergeCell ref="G26:G27"/>
    <mergeCell ref="H26:H27"/>
    <mergeCell ref="I26:I27"/>
    <mergeCell ref="J26:J27"/>
    <mergeCell ref="K26:K27"/>
  </mergeCells>
  <dataValidations count="9">
    <dataValidation type="whole" allowBlank="1" showErrorMessage="1" error="Valor= 0 o 1 _x000a_" sqref="F34:L34" xr:uid="{494069EE-3ABB-4982-B660-0C918369BB81}">
      <formula1>0</formula1>
      <formula2>1</formula2>
    </dataValidation>
    <dataValidation type="whole" allowBlank="1" showErrorMessage="1" error="Valor= 0 o 1 " promptTitle="jjjjj" sqref="F12:L15" xr:uid="{E983E390-4294-4B02-8F0D-3A4B0BD09258}">
      <formula1>0</formula1>
      <formula2>1</formula2>
    </dataValidation>
    <dataValidation type="whole" allowBlank="1" showInputMessage="1" showErrorMessage="1" error="Valor=0 _x000a_" sqref="F18:L19" xr:uid="{A66C1DDD-30AD-4E46-937D-AB6CEF31DBA7}">
      <formula1>0</formula1>
      <formula2>0</formula2>
    </dataValidation>
    <dataValidation type="whole" allowBlank="1" showInputMessage="1" showErrorMessage="1" error="Valor= 0 o 1 _x000a_" sqref="F35:L35 F39:L39" xr:uid="{2ABF8A66-8852-411F-9347-A2A6A57901E4}">
      <formula1>0</formula1>
      <formula2>1</formula2>
    </dataValidation>
    <dataValidation type="whole" allowBlank="1" showInputMessage="1" showErrorMessage="1" error="Valor=1" sqref="F43:L43" xr:uid="{6BD89AC1-E443-48E5-A7BE-5A8927A2DD37}">
      <formula1>1</formula1>
      <formula2>1</formula2>
    </dataValidation>
    <dataValidation type="whole" allowBlank="1" showInputMessage="1" showErrorMessage="1" error="Valor=0 o 1" sqref="F46:L53 E46:E53 E12:E13 E14:E15 E32 E33 E39" xr:uid="{D0070A89-1D01-4B5B-AB81-EC379640B094}">
      <formula1>0</formula1>
      <formula2>1</formula2>
    </dataValidation>
    <dataValidation type="textLength" allowBlank="1" showInputMessage="1" showErrorMessage="1" error="El NIF introduit no és vàlid " sqref="C8" xr:uid="{CB72206C-D2A1-4610-BF3C-E7695CE57B94}">
      <formula1>9</formula1>
      <formula2>9</formula2>
    </dataValidation>
    <dataValidation type="whole" operator="equal" allowBlank="1" showInputMessage="1" showErrorMessage="1" error="Valor=0 " sqref="E18:E19" xr:uid="{3519D5F9-40FE-4F75-9D1A-FFF5C825AC72}">
      <formula1>0</formula1>
    </dataValidation>
    <dataValidation type="whole" operator="equal" allowBlank="1" showInputMessage="1" showErrorMessage="1" error="Valor= 1" sqref="E43" xr:uid="{671B7575-418A-49FD-959D-1EDC3CF950E6}">
      <formula1>1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4A94-271B-4B91-9DCA-A9D188C938B1}">
  <dimension ref="A1:BB56"/>
  <sheetViews>
    <sheetView topLeftCell="C7"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58" customWidth="1"/>
    <col min="2" max="2" width="21.28515625" style="58" customWidth="1"/>
    <col min="3" max="3" width="112.7109375" style="58" customWidth="1"/>
    <col min="4" max="5" width="15.7109375" style="58" customWidth="1"/>
    <col min="6" max="12" width="13.85546875" style="58" customWidth="1"/>
    <col min="13" max="16384" width="11.42578125" style="58"/>
  </cols>
  <sheetData>
    <row r="1" spans="1:54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54" x14ac:dyDescent="0.2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54" ht="30.75" customHeight="1" x14ac:dyDescent="0.4">
      <c r="A3" s="55"/>
      <c r="B3" s="55"/>
      <c r="C3" s="185" t="s">
        <v>91</v>
      </c>
      <c r="D3" s="185"/>
      <c r="E3" s="185"/>
      <c r="F3" s="185"/>
      <c r="G3" s="185"/>
      <c r="H3" s="185"/>
      <c r="I3" s="55"/>
      <c r="J3" s="55"/>
      <c r="K3" s="55"/>
      <c r="L3" s="55"/>
    </row>
    <row r="4" spans="1:54" ht="26.25" customHeight="1" thickBot="1" x14ac:dyDescent="0.3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BB4" s="58" t="s">
        <v>93</v>
      </c>
    </row>
    <row r="5" spans="1:54" ht="16.5" thickBot="1" x14ac:dyDescent="0.3">
      <c r="B5" s="56" t="s">
        <v>82</v>
      </c>
      <c r="C5" s="125">
        <f>codiexp1</f>
        <v>0</v>
      </c>
      <c r="BB5" s="58">
        <v>3</v>
      </c>
    </row>
    <row r="6" spans="1:54" ht="16.5" thickBot="1" x14ac:dyDescent="0.3">
      <c r="B6" s="56" t="s">
        <v>83</v>
      </c>
      <c r="C6" s="158" t="str">
        <f>+CONCATENATE(C5,"-05")</f>
        <v>0-05</v>
      </c>
    </row>
    <row r="7" spans="1:54" ht="16.5" thickBot="1" x14ac:dyDescent="0.3">
      <c r="B7" s="56" t="s">
        <v>0</v>
      </c>
      <c r="C7" s="148"/>
    </row>
    <row r="8" spans="1:54" ht="16.5" thickBot="1" x14ac:dyDescent="0.3">
      <c r="B8" s="56" t="s">
        <v>80</v>
      </c>
      <c r="C8" s="148"/>
    </row>
    <row r="9" spans="1:54" ht="16.5" thickBot="1" x14ac:dyDescent="0.3">
      <c r="B9" s="56" t="s">
        <v>84</v>
      </c>
      <c r="C9" s="126">
        <f>justificacio</f>
        <v>0</v>
      </c>
    </row>
    <row r="10" spans="1:54" ht="15.75" thickBot="1" x14ac:dyDescent="0.3">
      <c r="B10" s="127"/>
    </row>
    <row r="11" spans="1:54" ht="32.25" thickBot="1" x14ac:dyDescent="0.3">
      <c r="A11" s="56" t="s">
        <v>90</v>
      </c>
      <c r="B11" s="56" t="s">
        <v>1</v>
      </c>
      <c r="C11" s="59" t="s">
        <v>2</v>
      </c>
      <c r="D11" s="59" t="s">
        <v>3</v>
      </c>
      <c r="E11" s="60">
        <v>2016</v>
      </c>
      <c r="F11" s="60">
        <v>2017</v>
      </c>
      <c r="G11" s="60">
        <v>2018</v>
      </c>
      <c r="H11" s="60">
        <v>2019</v>
      </c>
      <c r="I11" s="60">
        <v>2020</v>
      </c>
      <c r="J11" s="60">
        <v>2021</v>
      </c>
      <c r="K11" s="60">
        <v>2022</v>
      </c>
      <c r="L11" s="60">
        <v>2023</v>
      </c>
    </row>
    <row r="12" spans="1:54" ht="15.75" customHeight="1" x14ac:dyDescent="0.25">
      <c r="A12" s="264" t="s">
        <v>4</v>
      </c>
      <c r="B12" s="190" t="s">
        <v>5</v>
      </c>
      <c r="C12" s="192" t="s">
        <v>6</v>
      </c>
      <c r="D12" s="267" t="s">
        <v>7</v>
      </c>
      <c r="E12" s="239"/>
      <c r="F12" s="238"/>
      <c r="G12" s="233"/>
      <c r="H12" s="233"/>
      <c r="I12" s="233"/>
      <c r="J12" s="233"/>
      <c r="K12" s="233"/>
      <c r="L12" s="240"/>
      <c r="M12" s="129"/>
      <c r="N12" s="129"/>
      <c r="O12" s="129"/>
    </row>
    <row r="13" spans="1:54" ht="16.5" customHeight="1" thickBot="1" x14ac:dyDescent="0.3">
      <c r="A13" s="265"/>
      <c r="B13" s="191"/>
      <c r="C13" s="193"/>
      <c r="D13" s="268"/>
      <c r="E13" s="239"/>
      <c r="F13" s="239"/>
      <c r="G13" s="234"/>
      <c r="H13" s="234"/>
      <c r="I13" s="234"/>
      <c r="J13" s="234"/>
      <c r="K13" s="234"/>
      <c r="L13" s="241"/>
      <c r="M13" s="129"/>
      <c r="N13" s="129"/>
      <c r="O13" s="129"/>
    </row>
    <row r="14" spans="1:54" ht="15.75" customHeight="1" x14ac:dyDescent="0.25">
      <c r="A14" s="265"/>
      <c r="B14" s="190" t="s">
        <v>8</v>
      </c>
      <c r="C14" s="192" t="s">
        <v>9</v>
      </c>
      <c r="D14" s="267" t="s">
        <v>10</v>
      </c>
      <c r="E14" s="239"/>
      <c r="F14" s="239"/>
      <c r="G14" s="234"/>
      <c r="H14" s="234"/>
      <c r="I14" s="234"/>
      <c r="J14" s="234"/>
      <c r="K14" s="234"/>
      <c r="L14" s="241"/>
      <c r="M14" s="129"/>
      <c r="N14" s="129"/>
      <c r="O14" s="129"/>
    </row>
    <row r="15" spans="1:54" ht="16.5" customHeight="1" thickBot="1" x14ac:dyDescent="0.3">
      <c r="A15" s="265"/>
      <c r="B15" s="191"/>
      <c r="C15" s="193"/>
      <c r="D15" s="268"/>
      <c r="E15" s="239"/>
      <c r="F15" s="239"/>
      <c r="G15" s="234"/>
      <c r="H15" s="234"/>
      <c r="I15" s="234"/>
      <c r="J15" s="234"/>
      <c r="K15" s="234"/>
      <c r="L15" s="241"/>
      <c r="M15" s="129"/>
      <c r="N15" s="129"/>
      <c r="O15" s="129"/>
    </row>
    <row r="16" spans="1:54" ht="15.75" customHeight="1" x14ac:dyDescent="0.25">
      <c r="A16" s="265"/>
      <c r="B16" s="190" t="s">
        <v>11</v>
      </c>
      <c r="C16" s="192" t="s">
        <v>12</v>
      </c>
      <c r="D16" s="267" t="s">
        <v>13</v>
      </c>
      <c r="E16" s="239"/>
      <c r="F16" s="239"/>
      <c r="G16" s="234"/>
      <c r="H16" s="234"/>
      <c r="I16" s="234"/>
      <c r="J16" s="234"/>
      <c r="K16" s="234"/>
      <c r="L16" s="241"/>
      <c r="M16" s="129"/>
      <c r="N16" s="129"/>
      <c r="O16" s="129"/>
    </row>
    <row r="17" spans="1:15" ht="16.5" customHeight="1" thickBot="1" x14ac:dyDescent="0.3">
      <c r="A17" s="265"/>
      <c r="B17" s="191"/>
      <c r="C17" s="193"/>
      <c r="D17" s="268"/>
      <c r="E17" s="239"/>
      <c r="F17" s="239"/>
      <c r="G17" s="234"/>
      <c r="H17" s="234"/>
      <c r="I17" s="234"/>
      <c r="J17" s="234"/>
      <c r="K17" s="234"/>
      <c r="L17" s="241"/>
      <c r="M17" s="129"/>
      <c r="N17" s="129"/>
      <c r="O17" s="129"/>
    </row>
    <row r="18" spans="1:15" ht="15.75" customHeight="1" x14ac:dyDescent="0.25">
      <c r="A18" s="265"/>
      <c r="B18" s="190" t="s">
        <v>14</v>
      </c>
      <c r="C18" s="192" t="s">
        <v>15</v>
      </c>
      <c r="D18" s="267" t="s">
        <v>16</v>
      </c>
      <c r="E18" s="239"/>
      <c r="F18" s="239"/>
      <c r="G18" s="234"/>
      <c r="H18" s="234"/>
      <c r="I18" s="234"/>
      <c r="J18" s="234"/>
      <c r="K18" s="234"/>
      <c r="L18" s="241"/>
      <c r="M18" s="129"/>
      <c r="N18" s="129"/>
      <c r="O18" s="129"/>
    </row>
    <row r="19" spans="1:15" ht="16.5" customHeight="1" thickBot="1" x14ac:dyDescent="0.3">
      <c r="A19" s="265"/>
      <c r="B19" s="191"/>
      <c r="C19" s="193"/>
      <c r="D19" s="268"/>
      <c r="E19" s="239"/>
      <c r="F19" s="239"/>
      <c r="G19" s="234"/>
      <c r="H19" s="234"/>
      <c r="I19" s="234"/>
      <c r="J19" s="234"/>
      <c r="K19" s="234"/>
      <c r="L19" s="241"/>
      <c r="M19" s="129"/>
      <c r="N19" s="129"/>
      <c r="O19" s="129"/>
    </row>
    <row r="20" spans="1:15" ht="15.75" customHeight="1" x14ac:dyDescent="0.25">
      <c r="A20" s="265"/>
      <c r="B20" s="190" t="s">
        <v>17</v>
      </c>
      <c r="C20" s="192" t="s">
        <v>18</v>
      </c>
      <c r="D20" s="267" t="s">
        <v>19</v>
      </c>
      <c r="E20" s="239"/>
      <c r="F20" s="239"/>
      <c r="G20" s="234"/>
      <c r="H20" s="234"/>
      <c r="I20" s="234"/>
      <c r="J20" s="234"/>
      <c r="K20" s="234"/>
      <c r="L20" s="241"/>
      <c r="M20" s="129"/>
      <c r="N20" s="129"/>
      <c r="O20" s="129"/>
    </row>
    <row r="21" spans="1:15" ht="16.5" customHeight="1" thickBot="1" x14ac:dyDescent="0.3">
      <c r="A21" s="265"/>
      <c r="B21" s="191"/>
      <c r="C21" s="193"/>
      <c r="D21" s="268"/>
      <c r="E21" s="239"/>
      <c r="F21" s="239"/>
      <c r="G21" s="234"/>
      <c r="H21" s="234"/>
      <c r="I21" s="234"/>
      <c r="J21" s="234"/>
      <c r="K21" s="234"/>
      <c r="L21" s="241"/>
      <c r="M21" s="129"/>
      <c r="N21" s="129"/>
      <c r="O21" s="129"/>
    </row>
    <row r="22" spans="1:15" ht="15.75" customHeight="1" x14ac:dyDescent="0.25">
      <c r="A22" s="265"/>
      <c r="B22" s="192" t="s">
        <v>20</v>
      </c>
      <c r="C22" s="192" t="s">
        <v>21</v>
      </c>
      <c r="D22" s="267" t="s">
        <v>22</v>
      </c>
      <c r="E22" s="239"/>
      <c r="F22" s="239"/>
      <c r="G22" s="234"/>
      <c r="H22" s="234"/>
      <c r="I22" s="234"/>
      <c r="J22" s="234"/>
      <c r="K22" s="234"/>
      <c r="L22" s="241"/>
      <c r="M22" s="129"/>
      <c r="N22" s="129"/>
      <c r="O22" s="129"/>
    </row>
    <row r="23" spans="1:15" ht="16.5" customHeight="1" thickBot="1" x14ac:dyDescent="0.3">
      <c r="A23" s="265"/>
      <c r="B23" s="193"/>
      <c r="C23" s="193"/>
      <c r="D23" s="268"/>
      <c r="E23" s="239"/>
      <c r="F23" s="239"/>
      <c r="G23" s="234"/>
      <c r="H23" s="234"/>
      <c r="I23" s="234"/>
      <c r="J23" s="234"/>
      <c r="K23" s="234"/>
      <c r="L23" s="241"/>
      <c r="M23" s="129"/>
      <c r="N23" s="129"/>
      <c r="O23" s="129"/>
    </row>
    <row r="24" spans="1:15" ht="15.75" customHeight="1" x14ac:dyDescent="0.25">
      <c r="A24" s="265"/>
      <c r="B24" s="192" t="s">
        <v>23</v>
      </c>
      <c r="C24" s="192" t="s">
        <v>24</v>
      </c>
      <c r="D24" s="267" t="s">
        <v>19</v>
      </c>
      <c r="E24" s="239"/>
      <c r="F24" s="239"/>
      <c r="G24" s="234"/>
      <c r="H24" s="234"/>
      <c r="I24" s="234"/>
      <c r="J24" s="234"/>
      <c r="K24" s="234"/>
      <c r="L24" s="241"/>
      <c r="M24" s="129"/>
      <c r="N24" s="129"/>
      <c r="O24" s="129"/>
    </row>
    <row r="25" spans="1:15" ht="16.5" customHeight="1" thickBot="1" x14ac:dyDescent="0.3">
      <c r="A25" s="266"/>
      <c r="B25" s="193"/>
      <c r="C25" s="193"/>
      <c r="D25" s="268"/>
      <c r="E25" s="239"/>
      <c r="F25" s="239"/>
      <c r="G25" s="234"/>
      <c r="H25" s="234"/>
      <c r="I25" s="234"/>
      <c r="J25" s="234"/>
      <c r="K25" s="234"/>
      <c r="L25" s="241"/>
      <c r="M25" s="129"/>
      <c r="N25" s="129"/>
      <c r="O25" s="129"/>
    </row>
    <row r="26" spans="1:15" ht="15.75" customHeight="1" x14ac:dyDescent="0.25">
      <c r="A26" s="264" t="s">
        <v>25</v>
      </c>
      <c r="B26" s="192" t="s">
        <v>26</v>
      </c>
      <c r="C26" s="192" t="s">
        <v>27</v>
      </c>
      <c r="D26" s="267" t="s">
        <v>13</v>
      </c>
      <c r="E26" s="239"/>
      <c r="F26" s="239"/>
      <c r="G26" s="234"/>
      <c r="H26" s="234"/>
      <c r="I26" s="234"/>
      <c r="J26" s="234"/>
      <c r="K26" s="234"/>
      <c r="L26" s="241"/>
      <c r="M26" s="129"/>
      <c r="N26" s="129"/>
      <c r="O26" s="129"/>
    </row>
    <row r="27" spans="1:15" ht="15.75" customHeight="1" thickBot="1" x14ac:dyDescent="0.3">
      <c r="A27" s="266"/>
      <c r="B27" s="193"/>
      <c r="C27" s="193"/>
      <c r="D27" s="268"/>
      <c r="E27" s="239"/>
      <c r="F27" s="242"/>
      <c r="G27" s="245"/>
      <c r="H27" s="245"/>
      <c r="I27" s="245"/>
      <c r="J27" s="245"/>
      <c r="K27" s="245"/>
      <c r="L27" s="246"/>
      <c r="M27" s="129"/>
      <c r="N27" s="129"/>
      <c r="O27" s="129"/>
    </row>
    <row r="28" spans="1:15" ht="32.25" thickBot="1" x14ac:dyDescent="0.3">
      <c r="A28" s="56" t="s">
        <v>89</v>
      </c>
      <c r="B28" s="56" t="s">
        <v>1</v>
      </c>
      <c r="C28" s="59" t="s">
        <v>2</v>
      </c>
      <c r="D28" s="59" t="s">
        <v>3</v>
      </c>
      <c r="E28" s="59">
        <v>2016</v>
      </c>
      <c r="F28" s="56">
        <v>2017</v>
      </c>
      <c r="G28" s="59">
        <v>2018</v>
      </c>
      <c r="H28" s="59">
        <v>2019</v>
      </c>
      <c r="I28" s="59">
        <v>2020</v>
      </c>
      <c r="J28" s="59">
        <v>2021</v>
      </c>
      <c r="K28" s="59">
        <v>2022</v>
      </c>
      <c r="L28" s="59">
        <v>2023</v>
      </c>
      <c r="M28" s="129"/>
      <c r="N28" s="129"/>
      <c r="O28" s="129"/>
    </row>
    <row r="29" spans="1:15" ht="25.5" customHeight="1" thickBot="1" x14ac:dyDescent="0.3">
      <c r="B29" s="64" t="s">
        <v>28</v>
      </c>
      <c r="C29" s="63" t="s">
        <v>29</v>
      </c>
      <c r="D29" s="131" t="s">
        <v>13</v>
      </c>
      <c r="E29" s="176"/>
      <c r="F29" s="149"/>
      <c r="G29" s="150"/>
      <c r="H29" s="150"/>
      <c r="I29" s="150"/>
      <c r="J29" s="150"/>
      <c r="K29" s="150"/>
      <c r="L29" s="151"/>
      <c r="M29" s="129"/>
      <c r="N29" s="129"/>
      <c r="O29" s="129"/>
    </row>
    <row r="30" spans="1:15" ht="25.5" customHeight="1" thickBot="1" x14ac:dyDescent="0.3">
      <c r="B30" s="67" t="s">
        <v>30</v>
      </c>
      <c r="C30" s="66" t="s">
        <v>31</v>
      </c>
      <c r="D30" s="132" t="s">
        <v>13</v>
      </c>
      <c r="E30" s="176"/>
      <c r="F30" s="152"/>
      <c r="G30" s="98"/>
      <c r="H30" s="98"/>
      <c r="I30" s="98"/>
      <c r="J30" s="98"/>
      <c r="K30" s="98"/>
      <c r="L30" s="153"/>
      <c r="M30" s="129"/>
      <c r="N30" s="129"/>
      <c r="O30" s="129"/>
    </row>
    <row r="31" spans="1:15" ht="25.5" customHeight="1" thickBot="1" x14ac:dyDescent="0.3">
      <c r="B31" s="67" t="s">
        <v>32</v>
      </c>
      <c r="C31" s="66" t="s">
        <v>33</v>
      </c>
      <c r="D31" s="132" t="s">
        <v>16</v>
      </c>
      <c r="E31" s="176"/>
      <c r="F31" s="152"/>
      <c r="G31" s="98"/>
      <c r="H31" s="98"/>
      <c r="I31" s="98"/>
      <c r="J31" s="98"/>
      <c r="K31" s="98"/>
      <c r="L31" s="153"/>
      <c r="M31" s="129"/>
      <c r="N31" s="129"/>
      <c r="O31" s="129"/>
    </row>
    <row r="32" spans="1:15" ht="25.5" customHeight="1" thickBot="1" x14ac:dyDescent="0.3">
      <c r="B32" s="67" t="s">
        <v>34</v>
      </c>
      <c r="C32" s="66" t="s">
        <v>35</v>
      </c>
      <c r="D32" s="132" t="s">
        <v>16</v>
      </c>
      <c r="E32" s="176"/>
      <c r="F32" s="152"/>
      <c r="G32" s="98"/>
      <c r="H32" s="98"/>
      <c r="I32" s="98"/>
      <c r="J32" s="98"/>
      <c r="K32" s="98"/>
      <c r="L32" s="153"/>
      <c r="M32" s="129"/>
      <c r="N32" s="129"/>
      <c r="O32" s="129"/>
    </row>
    <row r="33" spans="2:15" ht="25.5" customHeight="1" thickBot="1" x14ac:dyDescent="0.3">
      <c r="B33" s="70" t="s">
        <v>36</v>
      </c>
      <c r="C33" s="66" t="s">
        <v>37</v>
      </c>
      <c r="D33" s="132" t="s">
        <v>16</v>
      </c>
      <c r="E33" s="176"/>
      <c r="F33" s="152"/>
      <c r="G33" s="98"/>
      <c r="H33" s="98"/>
      <c r="I33" s="98"/>
      <c r="J33" s="98"/>
      <c r="K33" s="98"/>
      <c r="L33" s="153"/>
      <c r="M33" s="129"/>
      <c r="N33" s="129"/>
      <c r="O33" s="129"/>
    </row>
    <row r="34" spans="2:15" ht="25.5" customHeight="1" thickBot="1" x14ac:dyDescent="0.3">
      <c r="B34" s="70" t="s">
        <v>38</v>
      </c>
      <c r="C34" s="69" t="s">
        <v>39</v>
      </c>
      <c r="D34" s="132" t="s">
        <v>16</v>
      </c>
      <c r="E34" s="176"/>
      <c r="F34" s="152"/>
      <c r="G34" s="98"/>
      <c r="H34" s="98"/>
      <c r="I34" s="98"/>
      <c r="J34" s="98"/>
      <c r="K34" s="98"/>
      <c r="L34" s="153"/>
      <c r="M34" s="129"/>
      <c r="N34" s="129"/>
      <c r="O34" s="129"/>
    </row>
    <row r="35" spans="2:15" ht="25.5" customHeight="1" thickBot="1" x14ac:dyDescent="0.3">
      <c r="B35" s="70" t="s">
        <v>40</v>
      </c>
      <c r="C35" s="69" t="s">
        <v>41</v>
      </c>
      <c r="D35" s="132" t="s">
        <v>16</v>
      </c>
      <c r="E35" s="176"/>
      <c r="F35" s="152"/>
      <c r="G35" s="98"/>
      <c r="H35" s="98"/>
      <c r="I35" s="98"/>
      <c r="J35" s="98"/>
      <c r="K35" s="98"/>
      <c r="L35" s="153"/>
      <c r="M35" s="129"/>
      <c r="N35" s="129"/>
      <c r="O35" s="129"/>
    </row>
    <row r="36" spans="2:15" ht="25.5" customHeight="1" thickBot="1" x14ac:dyDescent="0.3">
      <c r="B36" s="70" t="s">
        <v>42</v>
      </c>
      <c r="C36" s="66" t="s">
        <v>43</v>
      </c>
      <c r="D36" s="133" t="s">
        <v>16</v>
      </c>
      <c r="E36" s="176"/>
      <c r="F36" s="152"/>
      <c r="G36" s="98"/>
      <c r="H36" s="98"/>
      <c r="I36" s="98"/>
      <c r="J36" s="98"/>
      <c r="K36" s="98"/>
      <c r="L36" s="153"/>
      <c r="M36" s="129"/>
      <c r="N36" s="129"/>
      <c r="O36" s="129"/>
    </row>
    <row r="37" spans="2:15" ht="25.5" customHeight="1" thickBot="1" x14ac:dyDescent="0.3">
      <c r="B37" s="70" t="s">
        <v>44</v>
      </c>
      <c r="C37" s="66" t="s">
        <v>45</v>
      </c>
      <c r="D37" s="134" t="s">
        <v>16</v>
      </c>
      <c r="E37" s="176"/>
      <c r="F37" s="152"/>
      <c r="G37" s="98"/>
      <c r="H37" s="98"/>
      <c r="I37" s="98"/>
      <c r="J37" s="98"/>
      <c r="K37" s="98"/>
      <c r="L37" s="153"/>
      <c r="M37" s="129"/>
      <c r="N37" s="129"/>
      <c r="O37" s="129"/>
    </row>
    <row r="38" spans="2:15" ht="25.5" customHeight="1" thickBot="1" x14ac:dyDescent="0.3">
      <c r="B38" s="70" t="s">
        <v>46</v>
      </c>
      <c r="C38" s="66" t="s">
        <v>47</v>
      </c>
      <c r="D38" s="133" t="s">
        <v>16</v>
      </c>
      <c r="E38" s="176"/>
      <c r="F38" s="152"/>
      <c r="G38" s="98"/>
      <c r="H38" s="98"/>
      <c r="I38" s="98"/>
      <c r="J38" s="98"/>
      <c r="K38" s="98"/>
      <c r="L38" s="153"/>
      <c r="M38" s="129"/>
      <c r="N38" s="129"/>
      <c r="O38" s="129"/>
    </row>
    <row r="39" spans="2:15" ht="25.5" customHeight="1" thickBot="1" x14ac:dyDescent="0.3">
      <c r="B39" s="70" t="s">
        <v>48</v>
      </c>
      <c r="C39" s="66" t="s">
        <v>49</v>
      </c>
      <c r="D39" s="135" t="s">
        <v>16</v>
      </c>
      <c r="E39" s="176"/>
      <c r="F39" s="152"/>
      <c r="G39" s="98"/>
      <c r="H39" s="98"/>
      <c r="I39" s="98"/>
      <c r="J39" s="98"/>
      <c r="K39" s="98"/>
      <c r="L39" s="153"/>
      <c r="M39" s="129"/>
      <c r="N39" s="129"/>
      <c r="O39" s="129"/>
    </row>
    <row r="40" spans="2:15" ht="25.5" customHeight="1" thickBot="1" x14ac:dyDescent="0.3">
      <c r="B40" s="70" t="s">
        <v>50</v>
      </c>
      <c r="C40" s="66" t="s">
        <v>51</v>
      </c>
      <c r="D40" s="135" t="s">
        <v>16</v>
      </c>
      <c r="E40" s="176"/>
      <c r="F40" s="152"/>
      <c r="G40" s="98"/>
      <c r="H40" s="98"/>
      <c r="I40" s="98"/>
      <c r="J40" s="98"/>
      <c r="K40" s="98"/>
      <c r="L40" s="153"/>
      <c r="M40" s="129"/>
      <c r="N40" s="129"/>
      <c r="O40" s="129"/>
    </row>
    <row r="41" spans="2:15" ht="25.5" customHeight="1" thickBot="1" x14ac:dyDescent="0.3">
      <c r="B41" s="70" t="s">
        <v>52</v>
      </c>
      <c r="C41" s="66" t="s">
        <v>53</v>
      </c>
      <c r="D41" s="133" t="s">
        <v>16</v>
      </c>
      <c r="E41" s="176"/>
      <c r="F41" s="152"/>
      <c r="G41" s="98"/>
      <c r="H41" s="98"/>
      <c r="I41" s="98"/>
      <c r="J41" s="98"/>
      <c r="K41" s="98"/>
      <c r="L41" s="153"/>
      <c r="M41" s="129"/>
      <c r="N41" s="129"/>
      <c r="O41" s="129"/>
    </row>
    <row r="42" spans="2:15" ht="25.5" customHeight="1" thickBot="1" x14ac:dyDescent="0.3">
      <c r="B42" s="70" t="s">
        <v>54</v>
      </c>
      <c r="C42" s="66" t="s">
        <v>55</v>
      </c>
      <c r="D42" s="133" t="s">
        <v>16</v>
      </c>
      <c r="E42" s="176"/>
      <c r="F42" s="152"/>
      <c r="G42" s="98"/>
      <c r="H42" s="98"/>
      <c r="I42" s="98"/>
      <c r="J42" s="98"/>
      <c r="K42" s="98"/>
      <c r="L42" s="153"/>
      <c r="M42" s="129"/>
      <c r="N42" s="129"/>
      <c r="O42" s="129"/>
    </row>
    <row r="43" spans="2:15" ht="25.5" customHeight="1" thickBot="1" x14ac:dyDescent="0.3">
      <c r="B43" s="70" t="s">
        <v>56</v>
      </c>
      <c r="C43" s="66" t="s">
        <v>57</v>
      </c>
      <c r="D43" s="133" t="s">
        <v>16</v>
      </c>
      <c r="E43" s="176"/>
      <c r="F43" s="152"/>
      <c r="G43" s="98"/>
      <c r="H43" s="98"/>
      <c r="I43" s="98"/>
      <c r="J43" s="98"/>
      <c r="K43" s="98"/>
      <c r="L43" s="153"/>
      <c r="M43" s="129"/>
      <c r="N43" s="129"/>
      <c r="O43" s="129"/>
    </row>
    <row r="44" spans="2:15" ht="25.5" customHeight="1" thickBot="1" x14ac:dyDescent="0.3">
      <c r="B44" s="70" t="s">
        <v>58</v>
      </c>
      <c r="C44" s="66" t="s">
        <v>59</v>
      </c>
      <c r="D44" s="133" t="s">
        <v>16</v>
      </c>
      <c r="E44" s="176"/>
      <c r="F44" s="152"/>
      <c r="G44" s="98"/>
      <c r="H44" s="98"/>
      <c r="I44" s="98"/>
      <c r="J44" s="98"/>
      <c r="K44" s="98"/>
      <c r="L44" s="153"/>
      <c r="M44" s="129"/>
      <c r="N44" s="129"/>
      <c r="O44" s="129"/>
    </row>
    <row r="45" spans="2:15" ht="25.5" customHeight="1" thickBot="1" x14ac:dyDescent="0.3">
      <c r="B45" s="70" t="s">
        <v>60</v>
      </c>
      <c r="C45" s="66" t="s">
        <v>61</v>
      </c>
      <c r="D45" s="133" t="s">
        <v>16</v>
      </c>
      <c r="E45" s="176"/>
      <c r="F45" s="152"/>
      <c r="G45" s="98"/>
      <c r="H45" s="98"/>
      <c r="I45" s="98"/>
      <c r="J45" s="98"/>
      <c r="K45" s="98"/>
      <c r="L45" s="153"/>
      <c r="M45" s="129"/>
      <c r="N45" s="129"/>
      <c r="O45" s="129"/>
    </row>
    <row r="46" spans="2:15" ht="25.5" customHeight="1" thickBot="1" x14ac:dyDescent="0.3">
      <c r="B46" s="70" t="s">
        <v>62</v>
      </c>
      <c r="C46" s="66" t="s">
        <v>63</v>
      </c>
      <c r="D46" s="133" t="s">
        <v>16</v>
      </c>
      <c r="E46" s="176"/>
      <c r="F46" s="152"/>
      <c r="G46" s="98"/>
      <c r="H46" s="98"/>
      <c r="I46" s="98"/>
      <c r="J46" s="98"/>
      <c r="K46" s="98"/>
      <c r="L46" s="153"/>
      <c r="M46" s="129"/>
      <c r="N46" s="129"/>
      <c r="O46" s="129"/>
    </row>
    <row r="47" spans="2:15" ht="25.5" customHeight="1" thickBot="1" x14ac:dyDescent="0.3">
      <c r="B47" s="70" t="s">
        <v>64</v>
      </c>
      <c r="C47" s="66" t="s">
        <v>65</v>
      </c>
      <c r="D47" s="133" t="s">
        <v>16</v>
      </c>
      <c r="E47" s="176"/>
      <c r="F47" s="152"/>
      <c r="G47" s="98"/>
      <c r="H47" s="98"/>
      <c r="I47" s="98"/>
      <c r="J47" s="98"/>
      <c r="K47" s="98"/>
      <c r="L47" s="153"/>
      <c r="M47" s="129"/>
      <c r="N47" s="129"/>
      <c r="O47" s="129"/>
    </row>
    <row r="48" spans="2:15" ht="25.5" customHeight="1" thickBot="1" x14ac:dyDescent="0.3">
      <c r="B48" s="74" t="s">
        <v>66</v>
      </c>
      <c r="C48" s="73" t="s">
        <v>67</v>
      </c>
      <c r="D48" s="136" t="s">
        <v>16</v>
      </c>
      <c r="E48" s="176"/>
      <c r="F48" s="152"/>
      <c r="G48" s="98"/>
      <c r="H48" s="98"/>
      <c r="I48" s="98"/>
      <c r="J48" s="98"/>
      <c r="K48" s="98"/>
      <c r="L48" s="153"/>
      <c r="M48" s="129"/>
      <c r="N48" s="129"/>
      <c r="O48" s="129"/>
    </row>
    <row r="49" spans="2:15" ht="25.5" customHeight="1" thickBot="1" x14ac:dyDescent="0.3">
      <c r="B49" s="75" t="s">
        <v>68</v>
      </c>
      <c r="C49" s="66" t="s">
        <v>69</v>
      </c>
      <c r="D49" s="137" t="s">
        <v>16</v>
      </c>
      <c r="E49" s="176"/>
      <c r="F49" s="152"/>
      <c r="G49" s="98"/>
      <c r="H49" s="98"/>
      <c r="I49" s="98"/>
      <c r="J49" s="98"/>
      <c r="K49" s="98"/>
      <c r="L49" s="153"/>
      <c r="M49" s="129"/>
      <c r="N49" s="129"/>
      <c r="O49" s="129"/>
    </row>
    <row r="50" spans="2:15" ht="25.5" customHeight="1" thickBot="1" x14ac:dyDescent="0.3">
      <c r="B50" s="70" t="s">
        <v>70</v>
      </c>
      <c r="C50" s="66" t="s">
        <v>71</v>
      </c>
      <c r="D50" s="132" t="s">
        <v>16</v>
      </c>
      <c r="E50" s="176"/>
      <c r="F50" s="152"/>
      <c r="G50" s="98"/>
      <c r="H50" s="98"/>
      <c r="I50" s="98"/>
      <c r="J50" s="98"/>
      <c r="K50" s="98"/>
      <c r="L50" s="153"/>
      <c r="M50" s="129"/>
      <c r="N50" s="129"/>
      <c r="O50" s="129"/>
    </row>
    <row r="51" spans="2:15" ht="25.5" customHeight="1" thickBot="1" x14ac:dyDescent="0.3">
      <c r="B51" s="70" t="s">
        <v>72</v>
      </c>
      <c r="C51" s="66" t="s">
        <v>73</v>
      </c>
      <c r="D51" s="132" t="s">
        <v>16</v>
      </c>
      <c r="E51" s="176"/>
      <c r="F51" s="152"/>
      <c r="G51" s="98"/>
      <c r="H51" s="98"/>
      <c r="I51" s="98"/>
      <c r="J51" s="98"/>
      <c r="K51" s="98"/>
      <c r="L51" s="153"/>
      <c r="M51" s="129"/>
      <c r="N51" s="129"/>
      <c r="O51" s="129"/>
    </row>
    <row r="52" spans="2:15" ht="25.5" customHeight="1" thickBot="1" x14ac:dyDescent="0.3">
      <c r="B52" s="70" t="s">
        <v>74</v>
      </c>
      <c r="C52" s="66" t="s">
        <v>75</v>
      </c>
      <c r="D52" s="132" t="s">
        <v>16</v>
      </c>
      <c r="E52" s="176"/>
      <c r="F52" s="152"/>
      <c r="G52" s="98"/>
      <c r="H52" s="98"/>
      <c r="I52" s="98"/>
      <c r="J52" s="98"/>
      <c r="K52" s="98"/>
      <c r="L52" s="153"/>
      <c r="M52" s="129"/>
      <c r="N52" s="129"/>
      <c r="O52" s="129"/>
    </row>
    <row r="53" spans="2:15" ht="25.5" customHeight="1" thickBot="1" x14ac:dyDescent="0.3">
      <c r="B53" s="70" t="s">
        <v>76</v>
      </c>
      <c r="C53" s="66" t="s">
        <v>77</v>
      </c>
      <c r="D53" s="132" t="s">
        <v>16</v>
      </c>
      <c r="E53" s="176"/>
      <c r="F53" s="155"/>
      <c r="G53" s="156"/>
      <c r="H53" s="156"/>
      <c r="I53" s="156"/>
      <c r="J53" s="156"/>
      <c r="K53" s="156"/>
      <c r="L53" s="157"/>
      <c r="M53" s="129"/>
      <c r="N53" s="129"/>
      <c r="O53" s="129"/>
    </row>
    <row r="54" spans="2:15" x14ac:dyDescent="0.25">
      <c r="F54" s="138"/>
      <c r="G54" s="138"/>
      <c r="H54" s="129"/>
      <c r="I54" s="129"/>
      <c r="J54" s="129"/>
      <c r="K54" s="129"/>
      <c r="L54" s="129"/>
      <c r="M54" s="129"/>
      <c r="N54" s="129"/>
      <c r="O54" s="129"/>
    </row>
    <row r="55" spans="2:15" x14ac:dyDescent="0.25">
      <c r="F55" s="138"/>
      <c r="G55" s="138"/>
      <c r="H55" s="129"/>
      <c r="I55" s="129"/>
      <c r="J55" s="129"/>
      <c r="K55" s="129"/>
      <c r="L55" s="129"/>
      <c r="M55" s="129"/>
      <c r="N55" s="129"/>
      <c r="O55" s="129"/>
    </row>
    <row r="56" spans="2:15" x14ac:dyDescent="0.25">
      <c r="F56" s="139"/>
      <c r="G56" s="139"/>
    </row>
  </sheetData>
  <sheetProtection algorithmName="SHA-512" hashValue="draD5xsUoRzs6LzZscSzME32ZWFxS1G6ByK+TIGzMajXkGWNOwYFzMR28ZS3xOoQq6IeJJ0Bnmnj5WvJaxTVPQ==" saltValue="E0kIhMBAPPydVHjcEM2saw==" spinCount="100000" sheet="1" selectLockedCells="1"/>
  <mergeCells count="93">
    <mergeCell ref="E12:E13"/>
    <mergeCell ref="E14:E15"/>
    <mergeCell ref="E16:E17"/>
    <mergeCell ref="E18:E19"/>
    <mergeCell ref="E20:E21"/>
    <mergeCell ref="L26:L27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F26:F27"/>
    <mergeCell ref="E26:E27"/>
    <mergeCell ref="H24:H25"/>
    <mergeCell ref="I24:I25"/>
    <mergeCell ref="J24:J25"/>
    <mergeCell ref="K24:K25"/>
    <mergeCell ref="L24:L25"/>
    <mergeCell ref="B24:B25"/>
    <mergeCell ref="C24:C25"/>
    <mergeCell ref="D24:D25"/>
    <mergeCell ref="F24:F25"/>
    <mergeCell ref="G24:G25"/>
    <mergeCell ref="E24:E25"/>
    <mergeCell ref="H22:H23"/>
    <mergeCell ref="I22:I23"/>
    <mergeCell ref="J22:J23"/>
    <mergeCell ref="K22:K23"/>
    <mergeCell ref="L22:L23"/>
    <mergeCell ref="B22:B23"/>
    <mergeCell ref="C22:C23"/>
    <mergeCell ref="D22:D23"/>
    <mergeCell ref="F22:F23"/>
    <mergeCell ref="G22:G23"/>
    <mergeCell ref="E22:E23"/>
    <mergeCell ref="H20:H21"/>
    <mergeCell ref="I20:I21"/>
    <mergeCell ref="J20:J21"/>
    <mergeCell ref="K20:K21"/>
    <mergeCell ref="L20:L21"/>
    <mergeCell ref="B20:B21"/>
    <mergeCell ref="C20:C21"/>
    <mergeCell ref="D20:D21"/>
    <mergeCell ref="F20:F21"/>
    <mergeCell ref="G20:G21"/>
    <mergeCell ref="H18:H19"/>
    <mergeCell ref="I18:I19"/>
    <mergeCell ref="J18:J19"/>
    <mergeCell ref="K18:K19"/>
    <mergeCell ref="L18:L19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L14:L15"/>
    <mergeCell ref="H16:H17"/>
    <mergeCell ref="I16:I17"/>
    <mergeCell ref="J16:J17"/>
    <mergeCell ref="K16:K17"/>
    <mergeCell ref="L16:L17"/>
    <mergeCell ref="H14:H15"/>
    <mergeCell ref="I14:I15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</mergeCells>
  <dataValidations count="9">
    <dataValidation type="whole" allowBlank="1" showErrorMessage="1" error="Valor= 0 o 1 _x000a_" sqref="F34:L34" xr:uid="{45C67C5A-C334-4122-9092-9613CA78D0A9}">
      <formula1>0</formula1>
      <formula2>1</formula2>
    </dataValidation>
    <dataValidation type="whole" allowBlank="1" showErrorMessage="1" error="Valor= 0 o 1 " promptTitle="jjjjj" sqref="F12:L15" xr:uid="{C8549F08-A6BA-4483-971B-002506162C4C}">
      <formula1>0</formula1>
      <formula2>1</formula2>
    </dataValidation>
    <dataValidation type="whole" allowBlank="1" showInputMessage="1" showErrorMessage="1" error="Valor=0 _x000a_" sqref="F18:L19" xr:uid="{49BDC90D-2D96-48F6-93F1-59E4F5DA570A}">
      <formula1>0</formula1>
      <formula2>0</formula2>
    </dataValidation>
    <dataValidation type="whole" allowBlank="1" showInputMessage="1" showErrorMessage="1" error="Valor= 0 o 1 _x000a_" sqref="F35:L35 F39:L39" xr:uid="{C62F4F45-5674-44D3-A56F-B43299CC6A15}">
      <formula1>0</formula1>
      <formula2>1</formula2>
    </dataValidation>
    <dataValidation type="whole" allowBlank="1" showInputMessage="1" showErrorMessage="1" error="Valor=1" sqref="F43:L43" xr:uid="{039F5B03-C2AE-4FFE-A386-2A7F30B3B8CB}">
      <formula1>1</formula1>
      <formula2>1</formula2>
    </dataValidation>
    <dataValidation type="whole" allowBlank="1" showInputMessage="1" showErrorMessage="1" error="Valor=0 o 1" sqref="F46:L53 E46:E53 E12:E15 E39 E34:E35" xr:uid="{58E9C690-C30A-47A5-978A-75433B66AE28}">
      <formula1>0</formula1>
      <formula2>1</formula2>
    </dataValidation>
    <dataValidation type="textLength" allowBlank="1" showInputMessage="1" showErrorMessage="1" error="El NIF introduit no és vàlid " sqref="C8" xr:uid="{41EC225C-6EF8-4BE8-82C6-EE6CE9B6AC40}">
      <formula1>9</formula1>
      <formula2>9</formula2>
    </dataValidation>
    <dataValidation type="whole" operator="equal" allowBlank="1" showInputMessage="1" showErrorMessage="1" error="Valor=0 " sqref="E18:E19" xr:uid="{7AC07223-330B-4C32-A31E-30479A4F4CB5}">
      <formula1>0</formula1>
    </dataValidation>
    <dataValidation type="whole" operator="notEqual" allowBlank="1" showInputMessage="1" showErrorMessage="1" error="Valor= 1" sqref="E43" xr:uid="{C7891C21-23FE-415E-B713-27354704C4CF}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84F1-4C61-4332-8FC3-B5CB85C04AED}">
  <dimension ref="A1:BB56"/>
  <sheetViews>
    <sheetView topLeftCell="B7"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77">
        <f>codiexp1</f>
        <v>0</v>
      </c>
      <c r="BB5" s="4">
        <v>3</v>
      </c>
    </row>
    <row r="6" spans="1:54" ht="16.5" thickBot="1" x14ac:dyDescent="0.3">
      <c r="B6" s="2" t="s">
        <v>83</v>
      </c>
      <c r="C6" s="78" t="str">
        <f>+CONCATENATE(C5,"-06")</f>
        <v>0-06</v>
      </c>
    </row>
    <row r="7" spans="1:54" ht="16.5" thickBot="1" x14ac:dyDescent="0.3">
      <c r="B7" s="2" t="s">
        <v>0</v>
      </c>
      <c r="C7" s="148"/>
    </row>
    <row r="8" spans="1:54" ht="16.5" thickBot="1" x14ac:dyDescent="0.3">
      <c r="B8" s="2" t="s">
        <v>80</v>
      </c>
      <c r="C8" s="148"/>
    </row>
    <row r="9" spans="1:54" ht="16.5" thickBot="1" x14ac:dyDescent="0.3">
      <c r="B9" s="2" t="s">
        <v>84</v>
      </c>
      <c r="C9" s="79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45">
        <v>2016</v>
      </c>
      <c r="F11" s="45">
        <v>2017</v>
      </c>
      <c r="G11" s="45">
        <v>2018</v>
      </c>
      <c r="H11" s="45">
        <v>2019</v>
      </c>
      <c r="I11" s="45">
        <v>2020</v>
      </c>
      <c r="J11" s="45">
        <v>2021</v>
      </c>
      <c r="K11" s="45">
        <v>2022</v>
      </c>
      <c r="L11" s="45">
        <v>2023</v>
      </c>
    </row>
    <row r="12" spans="1:54" ht="15.75" customHeight="1" x14ac:dyDescent="0.25">
      <c r="A12" s="235" t="s">
        <v>4</v>
      </c>
      <c r="B12" s="212" t="s">
        <v>5</v>
      </c>
      <c r="C12" s="214" t="s">
        <v>6</v>
      </c>
      <c r="D12" s="261" t="s">
        <v>7</v>
      </c>
      <c r="E12" s="239"/>
      <c r="F12" s="238"/>
      <c r="G12" s="233"/>
      <c r="H12" s="233"/>
      <c r="I12" s="233"/>
      <c r="J12" s="233"/>
      <c r="K12" s="233"/>
      <c r="L12" s="240"/>
      <c r="M12" s="39"/>
      <c r="N12" s="39"/>
      <c r="O12" s="39"/>
    </row>
    <row r="13" spans="1:54" ht="16.5" customHeight="1" thickBot="1" x14ac:dyDescent="0.3">
      <c r="A13" s="236"/>
      <c r="B13" s="213"/>
      <c r="C13" s="215"/>
      <c r="D13" s="262"/>
      <c r="E13" s="239"/>
      <c r="F13" s="239"/>
      <c r="G13" s="234"/>
      <c r="H13" s="234"/>
      <c r="I13" s="234"/>
      <c r="J13" s="234"/>
      <c r="K13" s="234"/>
      <c r="L13" s="241"/>
      <c r="M13" s="39"/>
      <c r="N13" s="39"/>
      <c r="O13" s="39"/>
    </row>
    <row r="14" spans="1:54" ht="15.75" customHeight="1" x14ac:dyDescent="0.25">
      <c r="A14" s="236"/>
      <c r="B14" s="212" t="s">
        <v>8</v>
      </c>
      <c r="C14" s="214" t="s">
        <v>9</v>
      </c>
      <c r="D14" s="261" t="s">
        <v>10</v>
      </c>
      <c r="E14" s="239"/>
      <c r="F14" s="239"/>
      <c r="G14" s="234"/>
      <c r="H14" s="234"/>
      <c r="I14" s="234"/>
      <c r="J14" s="234"/>
      <c r="K14" s="234"/>
      <c r="L14" s="241"/>
      <c r="M14" s="39"/>
      <c r="N14" s="39"/>
      <c r="O14" s="39"/>
    </row>
    <row r="15" spans="1:54" ht="16.5" customHeight="1" thickBot="1" x14ac:dyDescent="0.3">
      <c r="A15" s="236"/>
      <c r="B15" s="213"/>
      <c r="C15" s="215"/>
      <c r="D15" s="262"/>
      <c r="E15" s="239"/>
      <c r="F15" s="239"/>
      <c r="G15" s="234"/>
      <c r="H15" s="234"/>
      <c r="I15" s="234"/>
      <c r="J15" s="234"/>
      <c r="K15" s="234"/>
      <c r="L15" s="241"/>
      <c r="M15" s="39"/>
      <c r="N15" s="39"/>
      <c r="O15" s="39"/>
    </row>
    <row r="16" spans="1:54" ht="15.75" customHeight="1" x14ac:dyDescent="0.25">
      <c r="A16" s="236"/>
      <c r="B16" s="212" t="s">
        <v>11</v>
      </c>
      <c r="C16" s="214" t="s">
        <v>12</v>
      </c>
      <c r="D16" s="261" t="s">
        <v>13</v>
      </c>
      <c r="E16" s="239"/>
      <c r="F16" s="239"/>
      <c r="G16" s="234"/>
      <c r="H16" s="234"/>
      <c r="I16" s="234"/>
      <c r="J16" s="234"/>
      <c r="K16" s="234"/>
      <c r="L16" s="241"/>
      <c r="M16" s="39"/>
      <c r="N16" s="39"/>
      <c r="O16" s="39"/>
    </row>
    <row r="17" spans="1:15" ht="16.5" customHeight="1" thickBot="1" x14ac:dyDescent="0.3">
      <c r="A17" s="236"/>
      <c r="B17" s="213"/>
      <c r="C17" s="215"/>
      <c r="D17" s="262"/>
      <c r="E17" s="239"/>
      <c r="F17" s="239"/>
      <c r="G17" s="234"/>
      <c r="H17" s="234"/>
      <c r="I17" s="234"/>
      <c r="J17" s="234"/>
      <c r="K17" s="234"/>
      <c r="L17" s="241"/>
      <c r="M17" s="39"/>
      <c r="N17" s="39"/>
      <c r="O17" s="39"/>
    </row>
    <row r="18" spans="1:15" ht="15.75" customHeight="1" x14ac:dyDescent="0.25">
      <c r="A18" s="236"/>
      <c r="B18" s="212" t="s">
        <v>14</v>
      </c>
      <c r="C18" s="214" t="s">
        <v>15</v>
      </c>
      <c r="D18" s="261" t="s">
        <v>16</v>
      </c>
      <c r="E18" s="239"/>
      <c r="F18" s="239"/>
      <c r="G18" s="234"/>
      <c r="H18" s="234"/>
      <c r="I18" s="234"/>
      <c r="J18" s="234"/>
      <c r="K18" s="234"/>
      <c r="L18" s="241"/>
      <c r="M18" s="39"/>
      <c r="N18" s="39"/>
      <c r="O18" s="39"/>
    </row>
    <row r="19" spans="1:15" ht="16.5" customHeight="1" thickBot="1" x14ac:dyDescent="0.3">
      <c r="A19" s="236"/>
      <c r="B19" s="213"/>
      <c r="C19" s="215"/>
      <c r="D19" s="262"/>
      <c r="E19" s="239"/>
      <c r="F19" s="239"/>
      <c r="G19" s="234"/>
      <c r="H19" s="234"/>
      <c r="I19" s="234"/>
      <c r="J19" s="234"/>
      <c r="K19" s="234"/>
      <c r="L19" s="241"/>
      <c r="M19" s="39"/>
      <c r="N19" s="39"/>
      <c r="O19" s="39"/>
    </row>
    <row r="20" spans="1:15" ht="15.75" customHeight="1" x14ac:dyDescent="0.25">
      <c r="A20" s="236"/>
      <c r="B20" s="212" t="s">
        <v>17</v>
      </c>
      <c r="C20" s="214" t="s">
        <v>18</v>
      </c>
      <c r="D20" s="261" t="s">
        <v>19</v>
      </c>
      <c r="E20" s="239"/>
      <c r="F20" s="239"/>
      <c r="G20" s="234"/>
      <c r="H20" s="234"/>
      <c r="I20" s="234"/>
      <c r="J20" s="234"/>
      <c r="K20" s="234"/>
      <c r="L20" s="241"/>
      <c r="M20" s="39"/>
      <c r="N20" s="39"/>
      <c r="O20" s="39"/>
    </row>
    <row r="21" spans="1:15" ht="16.5" customHeight="1" thickBot="1" x14ac:dyDescent="0.3">
      <c r="A21" s="236"/>
      <c r="B21" s="213"/>
      <c r="C21" s="215"/>
      <c r="D21" s="262"/>
      <c r="E21" s="239"/>
      <c r="F21" s="239"/>
      <c r="G21" s="234"/>
      <c r="H21" s="234"/>
      <c r="I21" s="234"/>
      <c r="J21" s="234"/>
      <c r="K21" s="234"/>
      <c r="L21" s="241"/>
      <c r="M21" s="39"/>
      <c r="N21" s="39"/>
      <c r="O21" s="39"/>
    </row>
    <row r="22" spans="1:15" ht="15.75" customHeight="1" x14ac:dyDescent="0.25">
      <c r="A22" s="236"/>
      <c r="B22" s="214" t="s">
        <v>20</v>
      </c>
      <c r="C22" s="214" t="s">
        <v>21</v>
      </c>
      <c r="D22" s="261" t="s">
        <v>22</v>
      </c>
      <c r="E22" s="239"/>
      <c r="F22" s="239"/>
      <c r="G22" s="234"/>
      <c r="H22" s="234"/>
      <c r="I22" s="234"/>
      <c r="J22" s="234"/>
      <c r="K22" s="234"/>
      <c r="L22" s="241"/>
      <c r="M22" s="39"/>
      <c r="N22" s="39"/>
      <c r="O22" s="39"/>
    </row>
    <row r="23" spans="1:15" ht="16.5" customHeight="1" thickBot="1" x14ac:dyDescent="0.3">
      <c r="A23" s="236"/>
      <c r="B23" s="215"/>
      <c r="C23" s="215"/>
      <c r="D23" s="262"/>
      <c r="E23" s="239"/>
      <c r="F23" s="239"/>
      <c r="G23" s="234"/>
      <c r="H23" s="234"/>
      <c r="I23" s="234"/>
      <c r="J23" s="234"/>
      <c r="K23" s="234"/>
      <c r="L23" s="241"/>
      <c r="M23" s="39"/>
      <c r="N23" s="39"/>
      <c r="O23" s="39"/>
    </row>
    <row r="24" spans="1:15" ht="15.75" customHeight="1" x14ac:dyDescent="0.25">
      <c r="A24" s="236"/>
      <c r="B24" s="214" t="s">
        <v>23</v>
      </c>
      <c r="C24" s="214" t="s">
        <v>24</v>
      </c>
      <c r="D24" s="261" t="s">
        <v>19</v>
      </c>
      <c r="E24" s="239"/>
      <c r="F24" s="239"/>
      <c r="G24" s="234"/>
      <c r="H24" s="234"/>
      <c r="I24" s="234"/>
      <c r="J24" s="234"/>
      <c r="K24" s="234"/>
      <c r="L24" s="241"/>
      <c r="M24" s="39"/>
      <c r="N24" s="39"/>
      <c r="O24" s="39"/>
    </row>
    <row r="25" spans="1:15" ht="16.5" customHeight="1" thickBot="1" x14ac:dyDescent="0.3">
      <c r="A25" s="237"/>
      <c r="B25" s="215"/>
      <c r="C25" s="215"/>
      <c r="D25" s="262"/>
      <c r="E25" s="239"/>
      <c r="F25" s="239"/>
      <c r="G25" s="234"/>
      <c r="H25" s="234"/>
      <c r="I25" s="234"/>
      <c r="J25" s="234"/>
      <c r="K25" s="234"/>
      <c r="L25" s="241"/>
      <c r="M25" s="39"/>
      <c r="N25" s="39"/>
      <c r="O25" s="39"/>
    </row>
    <row r="26" spans="1:15" ht="15.75" customHeight="1" x14ac:dyDescent="0.25">
      <c r="A26" s="235" t="s">
        <v>25</v>
      </c>
      <c r="B26" s="214" t="s">
        <v>26</v>
      </c>
      <c r="C26" s="214" t="s">
        <v>27</v>
      </c>
      <c r="D26" s="261" t="s">
        <v>13</v>
      </c>
      <c r="E26" s="239"/>
      <c r="F26" s="239"/>
      <c r="G26" s="234"/>
      <c r="H26" s="234"/>
      <c r="I26" s="234"/>
      <c r="J26" s="234"/>
      <c r="K26" s="234"/>
      <c r="L26" s="241"/>
      <c r="M26" s="39"/>
      <c r="N26" s="39"/>
      <c r="O26" s="39"/>
    </row>
    <row r="27" spans="1:15" ht="15.75" customHeight="1" thickBot="1" x14ac:dyDescent="0.3">
      <c r="A27" s="237"/>
      <c r="B27" s="215"/>
      <c r="C27" s="215"/>
      <c r="D27" s="262"/>
      <c r="E27" s="239"/>
      <c r="F27" s="242"/>
      <c r="G27" s="245"/>
      <c r="H27" s="245"/>
      <c r="I27" s="245"/>
      <c r="J27" s="245"/>
      <c r="K27" s="245"/>
      <c r="L27" s="246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2016</v>
      </c>
      <c r="F28" s="87">
        <v>2017</v>
      </c>
      <c r="G28" s="87">
        <v>2018</v>
      </c>
      <c r="H28" s="87">
        <v>2019</v>
      </c>
      <c r="I28" s="87">
        <v>2020</v>
      </c>
      <c r="J28" s="87">
        <v>2021</v>
      </c>
      <c r="K28" s="87">
        <v>2022</v>
      </c>
      <c r="L28" s="87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80" t="s">
        <v>13</v>
      </c>
      <c r="E29" s="176"/>
      <c r="F29" s="149"/>
      <c r="G29" s="150"/>
      <c r="H29" s="150"/>
      <c r="I29" s="150"/>
      <c r="J29" s="150"/>
      <c r="K29" s="150"/>
      <c r="L29" s="151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81" t="s">
        <v>13</v>
      </c>
      <c r="E30" s="176"/>
      <c r="F30" s="152"/>
      <c r="G30" s="98"/>
      <c r="H30" s="98"/>
      <c r="I30" s="98"/>
      <c r="J30" s="98"/>
      <c r="K30" s="98"/>
      <c r="L30" s="153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81" t="s">
        <v>16</v>
      </c>
      <c r="E31" s="176"/>
      <c r="F31" s="152"/>
      <c r="G31" s="98"/>
      <c r="H31" s="98"/>
      <c r="I31" s="98"/>
      <c r="J31" s="98"/>
      <c r="K31" s="98"/>
      <c r="L31" s="153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81" t="s">
        <v>16</v>
      </c>
      <c r="E32" s="176"/>
      <c r="F32" s="152"/>
      <c r="G32" s="98"/>
      <c r="H32" s="98"/>
      <c r="I32" s="98"/>
      <c r="J32" s="98"/>
      <c r="K32" s="98"/>
      <c r="L32" s="153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81" t="s">
        <v>16</v>
      </c>
      <c r="E33" s="176"/>
      <c r="F33" s="152"/>
      <c r="G33" s="98"/>
      <c r="H33" s="98"/>
      <c r="I33" s="98"/>
      <c r="J33" s="98"/>
      <c r="K33" s="98"/>
      <c r="L33" s="153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81" t="s">
        <v>16</v>
      </c>
      <c r="E34" s="176"/>
      <c r="F34" s="152"/>
      <c r="G34" s="98"/>
      <c r="H34" s="98"/>
      <c r="I34" s="98"/>
      <c r="J34" s="98"/>
      <c r="K34" s="98"/>
      <c r="L34" s="153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81" t="s">
        <v>16</v>
      </c>
      <c r="E35" s="176"/>
      <c r="F35" s="152"/>
      <c r="G35" s="98"/>
      <c r="H35" s="98"/>
      <c r="I35" s="98"/>
      <c r="J35" s="98"/>
      <c r="K35" s="98"/>
      <c r="L35" s="153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82" t="s">
        <v>16</v>
      </c>
      <c r="E36" s="176"/>
      <c r="F36" s="152"/>
      <c r="G36" s="98"/>
      <c r="H36" s="98"/>
      <c r="I36" s="98"/>
      <c r="J36" s="98"/>
      <c r="K36" s="98"/>
      <c r="L36" s="153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83" t="s">
        <v>16</v>
      </c>
      <c r="E37" s="176"/>
      <c r="F37" s="152"/>
      <c r="G37" s="98"/>
      <c r="H37" s="98"/>
      <c r="I37" s="98"/>
      <c r="J37" s="98"/>
      <c r="K37" s="98"/>
      <c r="L37" s="153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82" t="s">
        <v>16</v>
      </c>
      <c r="E38" s="176"/>
      <c r="F38" s="152"/>
      <c r="G38" s="98"/>
      <c r="H38" s="98"/>
      <c r="I38" s="98"/>
      <c r="J38" s="98"/>
      <c r="K38" s="98"/>
      <c r="L38" s="153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84" t="s">
        <v>16</v>
      </c>
      <c r="E39" s="176"/>
      <c r="F39" s="152"/>
      <c r="G39" s="98"/>
      <c r="H39" s="98"/>
      <c r="I39" s="98"/>
      <c r="J39" s="98"/>
      <c r="K39" s="98"/>
      <c r="L39" s="153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84" t="s">
        <v>16</v>
      </c>
      <c r="E40" s="176"/>
      <c r="F40" s="152"/>
      <c r="G40" s="98"/>
      <c r="H40" s="98"/>
      <c r="I40" s="98"/>
      <c r="J40" s="98"/>
      <c r="K40" s="98"/>
      <c r="L40" s="153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82" t="s">
        <v>16</v>
      </c>
      <c r="E41" s="176"/>
      <c r="F41" s="152"/>
      <c r="G41" s="98"/>
      <c r="H41" s="98"/>
      <c r="I41" s="98"/>
      <c r="J41" s="98"/>
      <c r="K41" s="98"/>
      <c r="L41" s="153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82" t="s">
        <v>16</v>
      </c>
      <c r="E42" s="176"/>
      <c r="F42" s="152"/>
      <c r="G42" s="98"/>
      <c r="H42" s="98"/>
      <c r="I42" s="98"/>
      <c r="J42" s="98"/>
      <c r="K42" s="98"/>
      <c r="L42" s="153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82" t="s">
        <v>16</v>
      </c>
      <c r="E43" s="176"/>
      <c r="F43" s="152"/>
      <c r="G43" s="98"/>
      <c r="H43" s="98"/>
      <c r="I43" s="98"/>
      <c r="J43" s="98"/>
      <c r="K43" s="98"/>
      <c r="L43" s="153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82" t="s">
        <v>16</v>
      </c>
      <c r="E44" s="176"/>
      <c r="F44" s="152"/>
      <c r="G44" s="98"/>
      <c r="H44" s="98"/>
      <c r="I44" s="98"/>
      <c r="J44" s="98"/>
      <c r="K44" s="98"/>
      <c r="L44" s="153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82" t="s">
        <v>16</v>
      </c>
      <c r="E45" s="176"/>
      <c r="F45" s="152"/>
      <c r="G45" s="98"/>
      <c r="H45" s="98"/>
      <c r="I45" s="98"/>
      <c r="J45" s="98"/>
      <c r="K45" s="98"/>
      <c r="L45" s="153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82" t="s">
        <v>16</v>
      </c>
      <c r="E46" s="176"/>
      <c r="F46" s="152"/>
      <c r="G46" s="98"/>
      <c r="H46" s="98"/>
      <c r="I46" s="98"/>
      <c r="J46" s="98"/>
      <c r="K46" s="98"/>
      <c r="L46" s="153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82" t="s">
        <v>16</v>
      </c>
      <c r="E47" s="176"/>
      <c r="F47" s="152"/>
      <c r="G47" s="98"/>
      <c r="H47" s="98"/>
      <c r="I47" s="98"/>
      <c r="J47" s="98"/>
      <c r="K47" s="98"/>
      <c r="L47" s="153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85" t="s">
        <v>16</v>
      </c>
      <c r="E48" s="176"/>
      <c r="F48" s="152"/>
      <c r="G48" s="98"/>
      <c r="H48" s="98"/>
      <c r="I48" s="98"/>
      <c r="J48" s="98"/>
      <c r="K48" s="98"/>
      <c r="L48" s="153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86" t="s">
        <v>16</v>
      </c>
      <c r="E49" s="176"/>
      <c r="F49" s="152"/>
      <c r="G49" s="98"/>
      <c r="H49" s="98"/>
      <c r="I49" s="98"/>
      <c r="J49" s="98"/>
      <c r="K49" s="98"/>
      <c r="L49" s="153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81" t="s">
        <v>16</v>
      </c>
      <c r="E50" s="176"/>
      <c r="F50" s="152"/>
      <c r="G50" s="98"/>
      <c r="H50" s="98"/>
      <c r="I50" s="98"/>
      <c r="J50" s="98"/>
      <c r="K50" s="98"/>
      <c r="L50" s="153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81" t="s">
        <v>16</v>
      </c>
      <c r="E51" s="176"/>
      <c r="F51" s="152"/>
      <c r="G51" s="98"/>
      <c r="H51" s="98"/>
      <c r="I51" s="98"/>
      <c r="J51" s="98"/>
      <c r="K51" s="98"/>
      <c r="L51" s="153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81" t="s">
        <v>16</v>
      </c>
      <c r="E52" s="176"/>
      <c r="F52" s="152"/>
      <c r="G52" s="98"/>
      <c r="H52" s="98"/>
      <c r="I52" s="98"/>
      <c r="J52" s="98"/>
      <c r="K52" s="98"/>
      <c r="L52" s="153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81" t="s">
        <v>16</v>
      </c>
      <c r="E53" s="176"/>
      <c r="F53" s="155"/>
      <c r="G53" s="156"/>
      <c r="H53" s="156"/>
      <c r="I53" s="156"/>
      <c r="J53" s="156"/>
      <c r="K53" s="156"/>
      <c r="L53" s="157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aviWZp2jNNYER9gGzduSZ8REQs6h2yY+WI+8pWY3N8wB0OGSUjrXDOJV+L9xGTECwCUy0mxDi/98EPB4x8IUxA==" saltValue="hBWldhvl1Sxham70+AEUKQ==" spinCount="100000" sheet="1" selectLockedCells="1"/>
  <mergeCells count="93">
    <mergeCell ref="E12:E13"/>
    <mergeCell ref="E14:E15"/>
    <mergeCell ref="E16:E17"/>
    <mergeCell ref="E18:E19"/>
    <mergeCell ref="E20:E21"/>
    <mergeCell ref="L26:L27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F26:F27"/>
    <mergeCell ref="E26:E27"/>
    <mergeCell ref="H24:H25"/>
    <mergeCell ref="I24:I25"/>
    <mergeCell ref="J24:J25"/>
    <mergeCell ref="K24:K25"/>
    <mergeCell ref="L24:L25"/>
    <mergeCell ref="B24:B25"/>
    <mergeCell ref="C24:C25"/>
    <mergeCell ref="D24:D25"/>
    <mergeCell ref="F24:F25"/>
    <mergeCell ref="G24:G25"/>
    <mergeCell ref="E24:E25"/>
    <mergeCell ref="H22:H23"/>
    <mergeCell ref="I22:I23"/>
    <mergeCell ref="J22:J23"/>
    <mergeCell ref="K22:K23"/>
    <mergeCell ref="L22:L23"/>
    <mergeCell ref="B22:B23"/>
    <mergeCell ref="C22:C23"/>
    <mergeCell ref="D22:D23"/>
    <mergeCell ref="F22:F23"/>
    <mergeCell ref="G22:G23"/>
    <mergeCell ref="E22:E23"/>
    <mergeCell ref="H20:H21"/>
    <mergeCell ref="I20:I21"/>
    <mergeCell ref="J20:J21"/>
    <mergeCell ref="K20:K21"/>
    <mergeCell ref="L20:L21"/>
    <mergeCell ref="B20:B21"/>
    <mergeCell ref="C20:C21"/>
    <mergeCell ref="D20:D21"/>
    <mergeCell ref="F20:F21"/>
    <mergeCell ref="G20:G21"/>
    <mergeCell ref="H18:H19"/>
    <mergeCell ref="I18:I19"/>
    <mergeCell ref="J18:J19"/>
    <mergeCell ref="K18:K19"/>
    <mergeCell ref="L18:L19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L14:L15"/>
    <mergeCell ref="H16:H17"/>
    <mergeCell ref="I16:I17"/>
    <mergeCell ref="J16:J17"/>
    <mergeCell ref="K16:K17"/>
    <mergeCell ref="L16:L17"/>
    <mergeCell ref="H14:H15"/>
    <mergeCell ref="I14:I15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</mergeCells>
  <dataValidations count="9">
    <dataValidation type="textLength" allowBlank="1" showInputMessage="1" showErrorMessage="1" error="El NIF introduit no és vàlid " sqref="C8" xr:uid="{AEE7D95F-0924-4C2B-9228-5F5D6AADC444}">
      <formula1>9</formula1>
      <formula2>9</formula2>
    </dataValidation>
    <dataValidation type="whole" allowBlank="1" showInputMessage="1" showErrorMessage="1" error="Valor=0 o 1" sqref="F46:L53 E46:E53 E12:E15 E34:E35 E39" xr:uid="{E55CF1A0-847E-4473-8C11-7D60D5A85E07}">
      <formula1>0</formula1>
      <formula2>1</formula2>
    </dataValidation>
    <dataValidation type="whole" allowBlank="1" showInputMessage="1" showErrorMessage="1" error="Valor=1" sqref="F43:L43" xr:uid="{0AD840D6-BCA5-4DD1-857F-BF1AF9BDAFC3}">
      <formula1>1</formula1>
      <formula2>1</formula2>
    </dataValidation>
    <dataValidation type="whole" allowBlank="1" showInputMessage="1" showErrorMessage="1" error="Valor= 0 o 1 _x000a_" sqref="F35:L35 F39:L39" xr:uid="{70DE8B52-A107-4C9D-98A1-FC590ECDD1A0}">
      <formula1>0</formula1>
      <formula2>1</formula2>
    </dataValidation>
    <dataValidation type="whole" allowBlank="1" showInputMessage="1" showErrorMessage="1" error="Valor=0 _x000a_" sqref="F18:L19" xr:uid="{42AD3C1B-8BFB-4273-8E6B-E96D6F97B8B7}">
      <formula1>0</formula1>
      <formula2>0</formula2>
    </dataValidation>
    <dataValidation type="whole" allowBlank="1" showErrorMessage="1" error="Valor= 0 o 1 " promptTitle="jjjjj" sqref="F12:L15" xr:uid="{623AF5A9-A368-45A1-8C6A-9175C0006037}">
      <formula1>0</formula1>
      <formula2>1</formula2>
    </dataValidation>
    <dataValidation type="whole" allowBlank="1" showErrorMessage="1" error="Valor= 0 o 1 _x000a_" sqref="F34:L34" xr:uid="{6589037C-043B-4222-87E2-C47C108AFF20}">
      <formula1>0</formula1>
      <formula2>1</formula2>
    </dataValidation>
    <dataValidation type="whole" operator="equal" allowBlank="1" showInputMessage="1" showErrorMessage="1" error="Valor=0 " sqref="E18:E19" xr:uid="{E3D2E3A4-563B-4C5D-9B42-CE50551F9C25}">
      <formula1>0</formula1>
    </dataValidation>
    <dataValidation type="whole" operator="equal" allowBlank="1" showInputMessage="1" showErrorMessage="1" error="Valor= 1" sqref="E43" xr:uid="{7F78BFAD-68EF-42C4-8333-4A382A18F56D}">
      <formula1>1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6D7D-1B6D-4A46-A72D-B5D7285BA10A}">
  <dimension ref="A1:BB56"/>
  <sheetViews>
    <sheetView topLeftCell="C7"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77">
        <f>codiexp1</f>
        <v>0</v>
      </c>
      <c r="BB5" s="4">
        <v>3</v>
      </c>
    </row>
    <row r="6" spans="1:54" ht="16.5" thickBot="1" x14ac:dyDescent="0.3">
      <c r="B6" s="2" t="s">
        <v>83</v>
      </c>
      <c r="C6" s="78" t="str">
        <f>+CONCATENATE(C5,"-07")</f>
        <v>0-07</v>
      </c>
    </row>
    <row r="7" spans="1:54" ht="16.5" thickBot="1" x14ac:dyDescent="0.3">
      <c r="B7" s="2" t="s">
        <v>0</v>
      </c>
      <c r="C7" s="148"/>
    </row>
    <row r="8" spans="1:54" ht="16.5" thickBot="1" x14ac:dyDescent="0.3">
      <c r="B8" s="2" t="s">
        <v>80</v>
      </c>
      <c r="C8" s="148"/>
    </row>
    <row r="9" spans="1:54" ht="16.5" thickBot="1" x14ac:dyDescent="0.3">
      <c r="B9" s="2" t="s">
        <v>84</v>
      </c>
      <c r="C9" s="79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3" t="s">
        <v>3</v>
      </c>
      <c r="E11" s="45">
        <v>2016</v>
      </c>
      <c r="F11" s="45">
        <v>2017</v>
      </c>
      <c r="G11" s="45">
        <v>2018</v>
      </c>
      <c r="H11" s="45">
        <v>2019</v>
      </c>
      <c r="I11" s="45">
        <v>2020</v>
      </c>
      <c r="J11" s="45">
        <v>2021</v>
      </c>
      <c r="K11" s="45">
        <v>2022</v>
      </c>
      <c r="L11" s="45">
        <v>2023</v>
      </c>
    </row>
    <row r="12" spans="1:54" ht="15.75" customHeight="1" x14ac:dyDescent="0.25">
      <c r="A12" s="235" t="s">
        <v>4</v>
      </c>
      <c r="B12" s="212" t="s">
        <v>5</v>
      </c>
      <c r="C12" s="214" t="s">
        <v>6</v>
      </c>
      <c r="D12" s="261" t="s">
        <v>7</v>
      </c>
      <c r="E12" s="239"/>
      <c r="F12" s="238"/>
      <c r="G12" s="233"/>
      <c r="H12" s="233"/>
      <c r="I12" s="233"/>
      <c r="J12" s="233"/>
      <c r="K12" s="233"/>
      <c r="L12" s="240"/>
      <c r="M12" s="39"/>
      <c r="N12" s="39"/>
      <c r="O12" s="39"/>
    </row>
    <row r="13" spans="1:54" ht="16.5" customHeight="1" thickBot="1" x14ac:dyDescent="0.3">
      <c r="A13" s="236"/>
      <c r="B13" s="213"/>
      <c r="C13" s="215"/>
      <c r="D13" s="262"/>
      <c r="E13" s="239"/>
      <c r="F13" s="239"/>
      <c r="G13" s="234"/>
      <c r="H13" s="234"/>
      <c r="I13" s="234"/>
      <c r="J13" s="234"/>
      <c r="K13" s="234"/>
      <c r="L13" s="241"/>
      <c r="M13" s="39"/>
      <c r="N13" s="39"/>
      <c r="O13" s="39"/>
    </row>
    <row r="14" spans="1:54" ht="15.75" customHeight="1" x14ac:dyDescent="0.25">
      <c r="A14" s="236"/>
      <c r="B14" s="212" t="s">
        <v>8</v>
      </c>
      <c r="C14" s="214" t="s">
        <v>9</v>
      </c>
      <c r="D14" s="261" t="s">
        <v>10</v>
      </c>
      <c r="E14" s="239"/>
      <c r="F14" s="239"/>
      <c r="G14" s="234"/>
      <c r="H14" s="234"/>
      <c r="I14" s="234"/>
      <c r="J14" s="234"/>
      <c r="K14" s="234"/>
      <c r="L14" s="241"/>
      <c r="M14" s="39"/>
      <c r="N14" s="39"/>
      <c r="O14" s="39"/>
    </row>
    <row r="15" spans="1:54" ht="16.5" customHeight="1" thickBot="1" x14ac:dyDescent="0.3">
      <c r="A15" s="236"/>
      <c r="B15" s="213"/>
      <c r="C15" s="215"/>
      <c r="D15" s="262"/>
      <c r="E15" s="239"/>
      <c r="F15" s="239"/>
      <c r="G15" s="234"/>
      <c r="H15" s="234"/>
      <c r="I15" s="234"/>
      <c r="J15" s="234"/>
      <c r="K15" s="234"/>
      <c r="L15" s="241"/>
      <c r="M15" s="39"/>
      <c r="N15" s="39"/>
      <c r="O15" s="39"/>
    </row>
    <row r="16" spans="1:54" ht="15.75" customHeight="1" x14ac:dyDescent="0.25">
      <c r="A16" s="236"/>
      <c r="B16" s="212" t="s">
        <v>11</v>
      </c>
      <c r="C16" s="214" t="s">
        <v>12</v>
      </c>
      <c r="D16" s="261" t="s">
        <v>13</v>
      </c>
      <c r="E16" s="239"/>
      <c r="F16" s="239"/>
      <c r="G16" s="234"/>
      <c r="H16" s="234"/>
      <c r="I16" s="234"/>
      <c r="J16" s="234"/>
      <c r="K16" s="234"/>
      <c r="L16" s="241"/>
      <c r="M16" s="39"/>
      <c r="N16" s="39"/>
      <c r="O16" s="39"/>
    </row>
    <row r="17" spans="1:15" ht="16.5" customHeight="1" thickBot="1" x14ac:dyDescent="0.3">
      <c r="A17" s="236"/>
      <c r="B17" s="213"/>
      <c r="C17" s="215"/>
      <c r="D17" s="262"/>
      <c r="E17" s="239"/>
      <c r="F17" s="239"/>
      <c r="G17" s="234"/>
      <c r="H17" s="234"/>
      <c r="I17" s="234"/>
      <c r="J17" s="234"/>
      <c r="K17" s="234"/>
      <c r="L17" s="241"/>
      <c r="M17" s="39"/>
      <c r="N17" s="39"/>
      <c r="O17" s="39"/>
    </row>
    <row r="18" spans="1:15" ht="15.75" customHeight="1" x14ac:dyDescent="0.25">
      <c r="A18" s="236"/>
      <c r="B18" s="212" t="s">
        <v>14</v>
      </c>
      <c r="C18" s="214" t="s">
        <v>15</v>
      </c>
      <c r="D18" s="261" t="s">
        <v>16</v>
      </c>
      <c r="E18" s="239"/>
      <c r="F18" s="239"/>
      <c r="G18" s="234"/>
      <c r="H18" s="234"/>
      <c r="I18" s="234"/>
      <c r="J18" s="234"/>
      <c r="K18" s="234"/>
      <c r="L18" s="241"/>
      <c r="M18" s="39"/>
      <c r="N18" s="39"/>
      <c r="O18" s="39"/>
    </row>
    <row r="19" spans="1:15" ht="16.5" customHeight="1" thickBot="1" x14ac:dyDescent="0.3">
      <c r="A19" s="236"/>
      <c r="B19" s="213"/>
      <c r="C19" s="215"/>
      <c r="D19" s="262"/>
      <c r="E19" s="239"/>
      <c r="F19" s="239"/>
      <c r="G19" s="234"/>
      <c r="H19" s="234"/>
      <c r="I19" s="234"/>
      <c r="J19" s="234"/>
      <c r="K19" s="234"/>
      <c r="L19" s="241"/>
      <c r="M19" s="39"/>
      <c r="N19" s="39"/>
      <c r="O19" s="39"/>
    </row>
    <row r="20" spans="1:15" ht="15.75" customHeight="1" x14ac:dyDescent="0.25">
      <c r="A20" s="236"/>
      <c r="B20" s="212" t="s">
        <v>17</v>
      </c>
      <c r="C20" s="214" t="s">
        <v>18</v>
      </c>
      <c r="D20" s="261" t="s">
        <v>19</v>
      </c>
      <c r="E20" s="239"/>
      <c r="F20" s="239"/>
      <c r="G20" s="234"/>
      <c r="H20" s="234"/>
      <c r="I20" s="234"/>
      <c r="J20" s="234"/>
      <c r="K20" s="234"/>
      <c r="L20" s="241"/>
      <c r="M20" s="39"/>
      <c r="N20" s="39"/>
      <c r="O20" s="39"/>
    </row>
    <row r="21" spans="1:15" ht="16.5" customHeight="1" thickBot="1" x14ac:dyDescent="0.3">
      <c r="A21" s="236"/>
      <c r="B21" s="213"/>
      <c r="C21" s="215"/>
      <c r="D21" s="262"/>
      <c r="E21" s="239"/>
      <c r="F21" s="239"/>
      <c r="G21" s="234"/>
      <c r="H21" s="234"/>
      <c r="I21" s="234"/>
      <c r="J21" s="234"/>
      <c r="K21" s="234"/>
      <c r="L21" s="241"/>
      <c r="M21" s="39"/>
      <c r="N21" s="39"/>
      <c r="O21" s="39"/>
    </row>
    <row r="22" spans="1:15" ht="15.75" customHeight="1" x14ac:dyDescent="0.25">
      <c r="A22" s="236"/>
      <c r="B22" s="214" t="s">
        <v>20</v>
      </c>
      <c r="C22" s="214" t="s">
        <v>21</v>
      </c>
      <c r="D22" s="261" t="s">
        <v>22</v>
      </c>
      <c r="E22" s="239"/>
      <c r="F22" s="239"/>
      <c r="G22" s="234"/>
      <c r="H22" s="234"/>
      <c r="I22" s="234"/>
      <c r="J22" s="234"/>
      <c r="K22" s="234"/>
      <c r="L22" s="241"/>
      <c r="M22" s="39"/>
      <c r="N22" s="39"/>
      <c r="O22" s="39"/>
    </row>
    <row r="23" spans="1:15" ht="16.5" customHeight="1" thickBot="1" x14ac:dyDescent="0.3">
      <c r="A23" s="236"/>
      <c r="B23" s="215"/>
      <c r="C23" s="215"/>
      <c r="D23" s="262"/>
      <c r="E23" s="239"/>
      <c r="F23" s="239"/>
      <c r="G23" s="234"/>
      <c r="H23" s="234"/>
      <c r="I23" s="234"/>
      <c r="J23" s="234"/>
      <c r="K23" s="234"/>
      <c r="L23" s="241"/>
      <c r="M23" s="39"/>
      <c r="N23" s="39"/>
      <c r="O23" s="39"/>
    </row>
    <row r="24" spans="1:15" ht="15.75" customHeight="1" x14ac:dyDescent="0.25">
      <c r="A24" s="236"/>
      <c r="B24" s="214" t="s">
        <v>23</v>
      </c>
      <c r="C24" s="214" t="s">
        <v>24</v>
      </c>
      <c r="D24" s="261" t="s">
        <v>19</v>
      </c>
      <c r="E24" s="239"/>
      <c r="F24" s="239"/>
      <c r="G24" s="234"/>
      <c r="H24" s="234"/>
      <c r="I24" s="234"/>
      <c r="J24" s="234"/>
      <c r="K24" s="234"/>
      <c r="L24" s="241"/>
      <c r="M24" s="39"/>
      <c r="N24" s="39"/>
      <c r="O24" s="39"/>
    </row>
    <row r="25" spans="1:15" ht="16.5" customHeight="1" thickBot="1" x14ac:dyDescent="0.3">
      <c r="A25" s="237"/>
      <c r="B25" s="215"/>
      <c r="C25" s="215"/>
      <c r="D25" s="262"/>
      <c r="E25" s="239"/>
      <c r="F25" s="239"/>
      <c r="G25" s="234"/>
      <c r="H25" s="234"/>
      <c r="I25" s="234"/>
      <c r="J25" s="234"/>
      <c r="K25" s="234"/>
      <c r="L25" s="241"/>
      <c r="M25" s="39"/>
      <c r="N25" s="39"/>
      <c r="O25" s="39"/>
    </row>
    <row r="26" spans="1:15" ht="15.75" customHeight="1" x14ac:dyDescent="0.25">
      <c r="A26" s="235" t="s">
        <v>25</v>
      </c>
      <c r="B26" s="214" t="s">
        <v>26</v>
      </c>
      <c r="C26" s="214" t="s">
        <v>27</v>
      </c>
      <c r="D26" s="261" t="s">
        <v>13</v>
      </c>
      <c r="E26" s="239"/>
      <c r="F26" s="239"/>
      <c r="G26" s="234"/>
      <c r="H26" s="234"/>
      <c r="I26" s="234"/>
      <c r="J26" s="234"/>
      <c r="K26" s="234"/>
      <c r="L26" s="241"/>
      <c r="M26" s="39"/>
      <c r="N26" s="39"/>
      <c r="O26" s="39"/>
    </row>
    <row r="27" spans="1:15" ht="15.75" customHeight="1" thickBot="1" x14ac:dyDescent="0.3">
      <c r="A27" s="237"/>
      <c r="B27" s="215"/>
      <c r="C27" s="215"/>
      <c r="D27" s="262"/>
      <c r="E27" s="239"/>
      <c r="F27" s="242"/>
      <c r="G27" s="245"/>
      <c r="H27" s="245"/>
      <c r="I27" s="245"/>
      <c r="J27" s="245"/>
      <c r="K27" s="245"/>
      <c r="L27" s="246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2016</v>
      </c>
      <c r="F28" s="104">
        <v>2017</v>
      </c>
      <c r="G28" s="87">
        <v>2018</v>
      </c>
      <c r="H28" s="87">
        <v>2019</v>
      </c>
      <c r="I28" s="87">
        <v>2020</v>
      </c>
      <c r="J28" s="87">
        <v>2021</v>
      </c>
      <c r="K28" s="87">
        <v>2022</v>
      </c>
      <c r="L28" s="87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80" t="s">
        <v>13</v>
      </c>
      <c r="E29" s="176"/>
      <c r="F29" s="149"/>
      <c r="G29" s="150"/>
      <c r="H29" s="150"/>
      <c r="I29" s="150"/>
      <c r="J29" s="150"/>
      <c r="K29" s="150"/>
      <c r="L29" s="151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81" t="s">
        <v>13</v>
      </c>
      <c r="E30" s="176"/>
      <c r="F30" s="152"/>
      <c r="G30" s="98"/>
      <c r="H30" s="98"/>
      <c r="I30" s="98"/>
      <c r="J30" s="98"/>
      <c r="K30" s="98"/>
      <c r="L30" s="153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81" t="s">
        <v>16</v>
      </c>
      <c r="E31" s="176"/>
      <c r="F31" s="152"/>
      <c r="G31" s="98"/>
      <c r="H31" s="98"/>
      <c r="I31" s="98"/>
      <c r="J31" s="98"/>
      <c r="K31" s="98"/>
      <c r="L31" s="153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81" t="s">
        <v>16</v>
      </c>
      <c r="E32" s="176"/>
      <c r="F32" s="152"/>
      <c r="G32" s="98"/>
      <c r="H32" s="98"/>
      <c r="I32" s="98"/>
      <c r="J32" s="98"/>
      <c r="K32" s="98"/>
      <c r="L32" s="153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81" t="s">
        <v>16</v>
      </c>
      <c r="E33" s="176"/>
      <c r="F33" s="152"/>
      <c r="G33" s="98"/>
      <c r="H33" s="98"/>
      <c r="I33" s="98"/>
      <c r="J33" s="98"/>
      <c r="K33" s="98"/>
      <c r="L33" s="153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81" t="s">
        <v>16</v>
      </c>
      <c r="E34" s="176"/>
      <c r="F34" s="152"/>
      <c r="G34" s="98"/>
      <c r="H34" s="98"/>
      <c r="I34" s="98"/>
      <c r="J34" s="98"/>
      <c r="K34" s="98"/>
      <c r="L34" s="153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81" t="s">
        <v>16</v>
      </c>
      <c r="E35" s="176"/>
      <c r="F35" s="152"/>
      <c r="G35" s="98"/>
      <c r="H35" s="98"/>
      <c r="I35" s="98"/>
      <c r="J35" s="98"/>
      <c r="K35" s="98"/>
      <c r="L35" s="153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82" t="s">
        <v>16</v>
      </c>
      <c r="E36" s="176"/>
      <c r="F36" s="152"/>
      <c r="G36" s="98"/>
      <c r="H36" s="98"/>
      <c r="I36" s="98"/>
      <c r="J36" s="98"/>
      <c r="K36" s="98"/>
      <c r="L36" s="153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83" t="s">
        <v>16</v>
      </c>
      <c r="E37" s="176"/>
      <c r="F37" s="152"/>
      <c r="G37" s="98"/>
      <c r="H37" s="98"/>
      <c r="I37" s="98"/>
      <c r="J37" s="98"/>
      <c r="K37" s="98"/>
      <c r="L37" s="153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82" t="s">
        <v>16</v>
      </c>
      <c r="E38" s="176"/>
      <c r="F38" s="152"/>
      <c r="G38" s="98"/>
      <c r="H38" s="98"/>
      <c r="I38" s="98"/>
      <c r="J38" s="98"/>
      <c r="K38" s="98"/>
      <c r="L38" s="153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84" t="s">
        <v>16</v>
      </c>
      <c r="E39" s="176"/>
      <c r="F39" s="152"/>
      <c r="G39" s="98"/>
      <c r="H39" s="98"/>
      <c r="I39" s="98"/>
      <c r="J39" s="98"/>
      <c r="K39" s="98"/>
      <c r="L39" s="153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84" t="s">
        <v>16</v>
      </c>
      <c r="E40" s="176"/>
      <c r="F40" s="152"/>
      <c r="G40" s="98"/>
      <c r="H40" s="98"/>
      <c r="I40" s="98"/>
      <c r="J40" s="98"/>
      <c r="K40" s="98"/>
      <c r="L40" s="153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82" t="s">
        <v>16</v>
      </c>
      <c r="E41" s="176"/>
      <c r="F41" s="152"/>
      <c r="G41" s="98"/>
      <c r="H41" s="98"/>
      <c r="I41" s="98"/>
      <c r="J41" s="98"/>
      <c r="K41" s="98"/>
      <c r="L41" s="153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82" t="s">
        <v>16</v>
      </c>
      <c r="E42" s="176"/>
      <c r="F42" s="152"/>
      <c r="G42" s="98"/>
      <c r="H42" s="98"/>
      <c r="I42" s="98"/>
      <c r="J42" s="98"/>
      <c r="K42" s="98"/>
      <c r="L42" s="153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82" t="s">
        <v>16</v>
      </c>
      <c r="E43" s="176"/>
      <c r="F43" s="152"/>
      <c r="G43" s="98"/>
      <c r="H43" s="98"/>
      <c r="I43" s="98"/>
      <c r="J43" s="98"/>
      <c r="K43" s="98"/>
      <c r="L43" s="153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82" t="s">
        <v>16</v>
      </c>
      <c r="E44" s="176"/>
      <c r="F44" s="152"/>
      <c r="G44" s="98"/>
      <c r="H44" s="98"/>
      <c r="I44" s="98"/>
      <c r="J44" s="98"/>
      <c r="K44" s="98"/>
      <c r="L44" s="153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82" t="s">
        <v>16</v>
      </c>
      <c r="E45" s="176"/>
      <c r="F45" s="152"/>
      <c r="G45" s="98"/>
      <c r="H45" s="98"/>
      <c r="I45" s="98"/>
      <c r="J45" s="98"/>
      <c r="K45" s="98"/>
      <c r="L45" s="153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82" t="s">
        <v>16</v>
      </c>
      <c r="E46" s="176"/>
      <c r="F46" s="152"/>
      <c r="G46" s="98"/>
      <c r="H46" s="98"/>
      <c r="I46" s="98"/>
      <c r="J46" s="98"/>
      <c r="K46" s="98"/>
      <c r="L46" s="153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82" t="s">
        <v>16</v>
      </c>
      <c r="E47" s="176"/>
      <c r="F47" s="152"/>
      <c r="G47" s="98"/>
      <c r="H47" s="98"/>
      <c r="I47" s="98"/>
      <c r="J47" s="98"/>
      <c r="K47" s="98"/>
      <c r="L47" s="153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85" t="s">
        <v>16</v>
      </c>
      <c r="E48" s="176"/>
      <c r="F48" s="152"/>
      <c r="G48" s="98"/>
      <c r="H48" s="98"/>
      <c r="I48" s="98"/>
      <c r="J48" s="98"/>
      <c r="K48" s="98"/>
      <c r="L48" s="153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86" t="s">
        <v>16</v>
      </c>
      <c r="E49" s="176"/>
      <c r="F49" s="152"/>
      <c r="G49" s="98"/>
      <c r="H49" s="98"/>
      <c r="I49" s="98"/>
      <c r="J49" s="98"/>
      <c r="K49" s="98"/>
      <c r="L49" s="153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81" t="s">
        <v>16</v>
      </c>
      <c r="E50" s="176"/>
      <c r="F50" s="152"/>
      <c r="G50" s="98"/>
      <c r="H50" s="98"/>
      <c r="I50" s="98"/>
      <c r="J50" s="98"/>
      <c r="K50" s="98"/>
      <c r="L50" s="153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81" t="s">
        <v>16</v>
      </c>
      <c r="E51" s="176"/>
      <c r="F51" s="152"/>
      <c r="G51" s="98"/>
      <c r="H51" s="98"/>
      <c r="I51" s="98"/>
      <c r="J51" s="98"/>
      <c r="K51" s="98"/>
      <c r="L51" s="153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81" t="s">
        <v>16</v>
      </c>
      <c r="E52" s="176"/>
      <c r="F52" s="152"/>
      <c r="G52" s="98"/>
      <c r="H52" s="98"/>
      <c r="I52" s="98"/>
      <c r="J52" s="98"/>
      <c r="K52" s="98"/>
      <c r="L52" s="153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81" t="s">
        <v>16</v>
      </c>
      <c r="E53" s="176"/>
      <c r="F53" s="101"/>
      <c r="G53" s="102"/>
      <c r="H53" s="102"/>
      <c r="I53" s="102"/>
      <c r="J53" s="102"/>
      <c r="K53" s="102"/>
      <c r="L53" s="154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+pNgNbldO7E045K3ZtqNHAYSYogYyZgSi29JUudwIkOdB27Qn3FbBOqFKqksFxuyTvgoByR6XNTe3cw4cKiznA==" saltValue="xqahvEJSsYScJhzBG4Y5cA==" spinCount="100000" sheet="1" selectLockedCells="1"/>
  <mergeCells count="93">
    <mergeCell ref="E12:E13"/>
    <mergeCell ref="E14:E15"/>
    <mergeCell ref="E16:E17"/>
    <mergeCell ref="E18:E19"/>
    <mergeCell ref="E20:E21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  <mergeCell ref="L14:L15"/>
    <mergeCell ref="H16:H17"/>
    <mergeCell ref="I16:I17"/>
    <mergeCell ref="J16:J17"/>
    <mergeCell ref="K16:K17"/>
    <mergeCell ref="L16:L17"/>
    <mergeCell ref="H14:H15"/>
    <mergeCell ref="I14:I15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H18:H19"/>
    <mergeCell ref="I18:I19"/>
    <mergeCell ref="J18:J19"/>
    <mergeCell ref="K18:K19"/>
    <mergeCell ref="L18:L19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L20:L21"/>
    <mergeCell ref="B22:B23"/>
    <mergeCell ref="C22:C23"/>
    <mergeCell ref="D22:D23"/>
    <mergeCell ref="F22:F23"/>
    <mergeCell ref="G22:G23"/>
    <mergeCell ref="E22:E23"/>
    <mergeCell ref="H22:H23"/>
    <mergeCell ref="I22:I23"/>
    <mergeCell ref="J22:J23"/>
    <mergeCell ref="K22:K23"/>
    <mergeCell ref="L22:L23"/>
    <mergeCell ref="B24:B25"/>
    <mergeCell ref="C24:C25"/>
    <mergeCell ref="D24:D25"/>
    <mergeCell ref="F24:F25"/>
    <mergeCell ref="G24:G25"/>
    <mergeCell ref="E24:E25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F26:F27"/>
    <mergeCell ref="E26:E27"/>
    <mergeCell ref="L26:L27"/>
    <mergeCell ref="G26:G27"/>
    <mergeCell ref="H26:H27"/>
    <mergeCell ref="I26:I27"/>
    <mergeCell ref="J26:J27"/>
    <mergeCell ref="K26:K27"/>
  </mergeCells>
  <dataValidations count="9">
    <dataValidation type="whole" allowBlank="1" showErrorMessage="1" error="Valor= 0 o 1 _x000a_" sqref="F34:L34" xr:uid="{CE4D0F51-0AC6-4F5A-B695-4B05BCD2661A}">
      <formula1>0</formula1>
      <formula2>1</formula2>
    </dataValidation>
    <dataValidation type="whole" allowBlank="1" showErrorMessage="1" error="Valor= 0 o 1 " promptTitle="jjjjj" sqref="F12:L15" xr:uid="{7E651C0C-08D0-4270-832D-612636D91099}">
      <formula1>0</formula1>
      <formula2>1</formula2>
    </dataValidation>
    <dataValidation type="whole" allowBlank="1" showInputMessage="1" showErrorMessage="1" error="Valor=0 _x000a_" sqref="F18:L19" xr:uid="{6926F3D1-20AC-4BDE-8AF5-0D49B82E26B7}">
      <formula1>0</formula1>
      <formula2>0</formula2>
    </dataValidation>
    <dataValidation type="whole" allowBlank="1" showInputMessage="1" showErrorMessage="1" error="Valor= 0 o 1 _x000a_" sqref="F35:L35 F39:L39" xr:uid="{081C6E67-A706-43BC-A3D1-22E57ADDA7BF}">
      <formula1>0</formula1>
      <formula2>1</formula2>
    </dataValidation>
    <dataValidation type="whole" allowBlank="1" showInputMessage="1" showErrorMessage="1" error="Valor=1" sqref="F43:L43" xr:uid="{A1F4145E-04C4-462B-85AD-B81F662C4A86}">
      <formula1>1</formula1>
      <formula2>1</formula2>
    </dataValidation>
    <dataValidation type="whole" allowBlank="1" showInputMessage="1" showErrorMessage="1" error="Valor=0 o 1" sqref="F46:L53 E46:E53 E12:E15 E34:E35 E39" xr:uid="{3CCB40C9-613A-4320-897C-0BF70E2ED737}">
      <formula1>0</formula1>
      <formula2>1</formula2>
    </dataValidation>
    <dataValidation type="textLength" allowBlank="1" showInputMessage="1" showErrorMessage="1" error="El NIF introduit no és vàlid " sqref="C8" xr:uid="{49CC1F0B-C9A4-4DDB-BFAA-E9B5878E6676}">
      <formula1>9</formula1>
      <formula2>9</formula2>
    </dataValidation>
    <dataValidation type="whole" operator="equal" allowBlank="1" showInputMessage="1" showErrorMessage="1" error="Valor=0 _x000a_" sqref="E18:E19" xr:uid="{5EB5C04D-0133-40F4-8311-4956C1542FB4}">
      <formula1>0</formula1>
    </dataValidation>
    <dataValidation type="whole" operator="equal" allowBlank="1" showInputMessage="1" showErrorMessage="1" error="Valor= 1" sqref="E43" xr:uid="{FDE70573-AFF0-4E99-BA9B-39BAFA098ED9}">
      <formula1>1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81036-3ECC-45EA-BD22-715F818328AF}">
  <dimension ref="A1:BB56"/>
  <sheetViews>
    <sheetView topLeftCell="C7" zoomScale="70" zoomScaleNormal="70" workbookViewId="0">
      <selection activeCell="C7" sqref="C7"/>
    </sheetView>
  </sheetViews>
  <sheetFormatPr defaultColWidth="11.42578125" defaultRowHeight="15" x14ac:dyDescent="0.25"/>
  <cols>
    <col min="1" max="1" width="16.5703125" style="4" customWidth="1"/>
    <col min="2" max="2" width="21.28515625" style="4" customWidth="1"/>
    <col min="3" max="3" width="112.7109375" style="4" customWidth="1"/>
    <col min="4" max="5" width="15.7109375" style="4" customWidth="1"/>
    <col min="6" max="12" width="13.85546875" style="4" customWidth="1"/>
    <col min="13" max="16384" width="11.42578125" style="4"/>
  </cols>
  <sheetData>
    <row r="1" spans="1:54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54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4" ht="30.75" customHeight="1" x14ac:dyDescent="0.4">
      <c r="A3" s="50"/>
      <c r="B3" s="50"/>
      <c r="C3" s="227" t="s">
        <v>91</v>
      </c>
      <c r="D3" s="227"/>
      <c r="E3" s="227"/>
      <c r="F3" s="227"/>
      <c r="G3" s="227"/>
      <c r="H3" s="227"/>
      <c r="I3" s="50"/>
      <c r="J3" s="50"/>
      <c r="K3" s="50"/>
      <c r="L3" s="50"/>
    </row>
    <row r="4" spans="1:54" ht="26.25" customHeight="1" thickBot="1" x14ac:dyDescent="0.3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BB4" s="4" t="s">
        <v>93</v>
      </c>
    </row>
    <row r="5" spans="1:54" ht="16.5" thickBot="1" x14ac:dyDescent="0.3">
      <c r="B5" s="2" t="s">
        <v>82</v>
      </c>
      <c r="C5" s="77">
        <f>codiexp1</f>
        <v>0</v>
      </c>
      <c r="BB5" s="4">
        <v>3</v>
      </c>
    </row>
    <row r="6" spans="1:54" ht="16.5" thickBot="1" x14ac:dyDescent="0.3">
      <c r="B6" s="2" t="s">
        <v>83</v>
      </c>
      <c r="C6" s="88" t="str">
        <f>+CONCATENATE(C5,"-08")</f>
        <v>0-08</v>
      </c>
    </row>
    <row r="7" spans="1:54" ht="16.5" thickBot="1" x14ac:dyDescent="0.3">
      <c r="B7" s="2" t="s">
        <v>0</v>
      </c>
      <c r="C7" s="114"/>
    </row>
    <row r="8" spans="1:54" ht="16.5" thickBot="1" x14ac:dyDescent="0.3">
      <c r="B8" s="2" t="s">
        <v>80</v>
      </c>
      <c r="C8" s="114"/>
    </row>
    <row r="9" spans="1:54" ht="16.5" thickBot="1" x14ac:dyDescent="0.3">
      <c r="B9" s="2" t="s">
        <v>84</v>
      </c>
      <c r="C9" s="79">
        <f>justificacio</f>
        <v>0</v>
      </c>
    </row>
    <row r="10" spans="1:54" ht="15.75" thickBot="1" x14ac:dyDescent="0.3">
      <c r="B10" s="24"/>
    </row>
    <row r="11" spans="1:54" ht="32.25" thickBot="1" x14ac:dyDescent="0.3">
      <c r="A11" s="2" t="s">
        <v>90</v>
      </c>
      <c r="B11" s="2" t="s">
        <v>1</v>
      </c>
      <c r="C11" s="3" t="s">
        <v>2</v>
      </c>
      <c r="D11" s="2" t="s">
        <v>3</v>
      </c>
      <c r="E11" s="3">
        <v>2016</v>
      </c>
      <c r="F11" s="3">
        <v>2017</v>
      </c>
      <c r="G11" s="3">
        <v>2018</v>
      </c>
      <c r="H11" s="3">
        <v>2019</v>
      </c>
      <c r="I11" s="3">
        <v>2020</v>
      </c>
      <c r="J11" s="3">
        <v>2021</v>
      </c>
      <c r="K11" s="3">
        <v>2022</v>
      </c>
      <c r="L11" s="3">
        <v>2023</v>
      </c>
    </row>
    <row r="12" spans="1:54" ht="15.75" customHeight="1" x14ac:dyDescent="0.25">
      <c r="A12" s="235" t="s">
        <v>4</v>
      </c>
      <c r="B12" s="212" t="s">
        <v>5</v>
      </c>
      <c r="C12" s="214" t="s">
        <v>6</v>
      </c>
      <c r="D12" s="214" t="s">
        <v>7</v>
      </c>
      <c r="E12" s="206"/>
      <c r="F12" s="269"/>
      <c r="G12" s="224"/>
      <c r="H12" s="224"/>
      <c r="I12" s="224"/>
      <c r="J12" s="224"/>
      <c r="K12" s="224"/>
      <c r="L12" s="224"/>
      <c r="M12" s="39"/>
      <c r="N12" s="39"/>
      <c r="O12" s="39"/>
    </row>
    <row r="13" spans="1:54" ht="16.5" customHeight="1" thickBot="1" x14ac:dyDescent="0.3">
      <c r="A13" s="236"/>
      <c r="B13" s="213"/>
      <c r="C13" s="215"/>
      <c r="D13" s="215"/>
      <c r="E13" s="206"/>
      <c r="F13" s="270"/>
      <c r="G13" s="206"/>
      <c r="H13" s="206"/>
      <c r="I13" s="206"/>
      <c r="J13" s="206"/>
      <c r="K13" s="206"/>
      <c r="L13" s="206"/>
      <c r="M13" s="39"/>
      <c r="N13" s="39"/>
      <c r="O13" s="39"/>
    </row>
    <row r="14" spans="1:54" ht="15.75" customHeight="1" x14ac:dyDescent="0.25">
      <c r="A14" s="236"/>
      <c r="B14" s="212" t="s">
        <v>8</v>
      </c>
      <c r="C14" s="214" t="s">
        <v>9</v>
      </c>
      <c r="D14" s="214" t="s">
        <v>10</v>
      </c>
      <c r="E14" s="206"/>
      <c r="F14" s="270"/>
      <c r="G14" s="206"/>
      <c r="H14" s="206"/>
      <c r="I14" s="206"/>
      <c r="J14" s="206"/>
      <c r="K14" s="206"/>
      <c r="L14" s="206"/>
      <c r="M14" s="39"/>
      <c r="N14" s="39"/>
      <c r="O14" s="39"/>
    </row>
    <row r="15" spans="1:54" ht="16.5" customHeight="1" thickBot="1" x14ac:dyDescent="0.3">
      <c r="A15" s="236"/>
      <c r="B15" s="213"/>
      <c r="C15" s="215"/>
      <c r="D15" s="215"/>
      <c r="E15" s="206"/>
      <c r="F15" s="270"/>
      <c r="G15" s="206"/>
      <c r="H15" s="206"/>
      <c r="I15" s="206"/>
      <c r="J15" s="206"/>
      <c r="K15" s="206"/>
      <c r="L15" s="206"/>
      <c r="M15" s="39"/>
      <c r="N15" s="39"/>
      <c r="O15" s="39"/>
    </row>
    <row r="16" spans="1:54" ht="15.75" customHeight="1" x14ac:dyDescent="0.25">
      <c r="A16" s="236"/>
      <c r="B16" s="212" t="s">
        <v>11</v>
      </c>
      <c r="C16" s="214" t="s">
        <v>12</v>
      </c>
      <c r="D16" s="214" t="s">
        <v>13</v>
      </c>
      <c r="E16" s="206"/>
      <c r="F16" s="270"/>
      <c r="G16" s="206"/>
      <c r="H16" s="206"/>
      <c r="I16" s="206"/>
      <c r="J16" s="206"/>
      <c r="K16" s="206"/>
      <c r="L16" s="206"/>
      <c r="M16" s="39"/>
      <c r="N16" s="39"/>
      <c r="O16" s="39"/>
    </row>
    <row r="17" spans="1:15" ht="16.5" customHeight="1" thickBot="1" x14ac:dyDescent="0.3">
      <c r="A17" s="236"/>
      <c r="B17" s="213"/>
      <c r="C17" s="215"/>
      <c r="D17" s="215"/>
      <c r="E17" s="206"/>
      <c r="F17" s="270"/>
      <c r="G17" s="206"/>
      <c r="H17" s="206"/>
      <c r="I17" s="206"/>
      <c r="J17" s="206"/>
      <c r="K17" s="206"/>
      <c r="L17" s="206"/>
      <c r="M17" s="39"/>
      <c r="N17" s="39"/>
      <c r="O17" s="39"/>
    </row>
    <row r="18" spans="1:15" ht="15.75" customHeight="1" x14ac:dyDescent="0.25">
      <c r="A18" s="236"/>
      <c r="B18" s="212" t="s">
        <v>14</v>
      </c>
      <c r="C18" s="214" t="s">
        <v>15</v>
      </c>
      <c r="D18" s="214" t="s">
        <v>16</v>
      </c>
      <c r="E18" s="206"/>
      <c r="F18" s="270"/>
      <c r="G18" s="206"/>
      <c r="H18" s="206"/>
      <c r="I18" s="206"/>
      <c r="J18" s="206"/>
      <c r="K18" s="206"/>
      <c r="L18" s="206"/>
      <c r="M18" s="39"/>
      <c r="N18" s="39"/>
      <c r="O18" s="39"/>
    </row>
    <row r="19" spans="1:15" ht="16.5" customHeight="1" thickBot="1" x14ac:dyDescent="0.3">
      <c r="A19" s="236"/>
      <c r="B19" s="213"/>
      <c r="C19" s="215"/>
      <c r="D19" s="215"/>
      <c r="E19" s="206"/>
      <c r="F19" s="270"/>
      <c r="G19" s="206"/>
      <c r="H19" s="206"/>
      <c r="I19" s="206"/>
      <c r="J19" s="206"/>
      <c r="K19" s="206"/>
      <c r="L19" s="206"/>
      <c r="M19" s="39"/>
      <c r="N19" s="39"/>
      <c r="O19" s="39"/>
    </row>
    <row r="20" spans="1:15" ht="15.75" customHeight="1" x14ac:dyDescent="0.25">
      <c r="A20" s="236"/>
      <c r="B20" s="212" t="s">
        <v>17</v>
      </c>
      <c r="C20" s="214" t="s">
        <v>18</v>
      </c>
      <c r="D20" s="214" t="s">
        <v>19</v>
      </c>
      <c r="E20" s="206"/>
      <c r="F20" s="270"/>
      <c r="G20" s="206"/>
      <c r="H20" s="206"/>
      <c r="I20" s="206"/>
      <c r="J20" s="206"/>
      <c r="K20" s="206"/>
      <c r="L20" s="206"/>
      <c r="M20" s="39"/>
      <c r="N20" s="39"/>
      <c r="O20" s="39"/>
    </row>
    <row r="21" spans="1:15" ht="16.5" customHeight="1" thickBot="1" x14ac:dyDescent="0.3">
      <c r="A21" s="236"/>
      <c r="B21" s="213"/>
      <c r="C21" s="215"/>
      <c r="D21" s="215"/>
      <c r="E21" s="206"/>
      <c r="F21" s="270"/>
      <c r="G21" s="206"/>
      <c r="H21" s="206"/>
      <c r="I21" s="206"/>
      <c r="J21" s="206"/>
      <c r="K21" s="206"/>
      <c r="L21" s="206"/>
      <c r="M21" s="39"/>
      <c r="N21" s="39"/>
      <c r="O21" s="39"/>
    </row>
    <row r="22" spans="1:15" ht="15.75" customHeight="1" x14ac:dyDescent="0.25">
      <c r="A22" s="236"/>
      <c r="B22" s="214" t="s">
        <v>20</v>
      </c>
      <c r="C22" s="214" t="s">
        <v>21</v>
      </c>
      <c r="D22" s="214" t="s">
        <v>22</v>
      </c>
      <c r="E22" s="206"/>
      <c r="F22" s="270"/>
      <c r="G22" s="206"/>
      <c r="H22" s="206"/>
      <c r="I22" s="206"/>
      <c r="J22" s="206"/>
      <c r="K22" s="206"/>
      <c r="L22" s="206"/>
      <c r="M22" s="39"/>
      <c r="N22" s="39"/>
      <c r="O22" s="39"/>
    </row>
    <row r="23" spans="1:15" ht="16.5" customHeight="1" thickBot="1" x14ac:dyDescent="0.3">
      <c r="A23" s="236"/>
      <c r="B23" s="215"/>
      <c r="C23" s="215"/>
      <c r="D23" s="215"/>
      <c r="E23" s="206"/>
      <c r="F23" s="270"/>
      <c r="G23" s="206"/>
      <c r="H23" s="206"/>
      <c r="I23" s="206"/>
      <c r="J23" s="206"/>
      <c r="K23" s="206"/>
      <c r="L23" s="206"/>
      <c r="M23" s="39"/>
      <c r="N23" s="39"/>
      <c r="O23" s="39"/>
    </row>
    <row r="24" spans="1:15" ht="15.75" customHeight="1" x14ac:dyDescent="0.25">
      <c r="A24" s="236"/>
      <c r="B24" s="214" t="s">
        <v>23</v>
      </c>
      <c r="C24" s="214" t="s">
        <v>24</v>
      </c>
      <c r="D24" s="214" t="s">
        <v>19</v>
      </c>
      <c r="E24" s="206"/>
      <c r="F24" s="270"/>
      <c r="G24" s="206"/>
      <c r="H24" s="206"/>
      <c r="I24" s="206"/>
      <c r="J24" s="206"/>
      <c r="K24" s="206"/>
      <c r="L24" s="206"/>
      <c r="M24" s="39"/>
      <c r="N24" s="39"/>
      <c r="O24" s="39"/>
    </row>
    <row r="25" spans="1:15" ht="16.5" customHeight="1" thickBot="1" x14ac:dyDescent="0.3">
      <c r="A25" s="237"/>
      <c r="B25" s="215"/>
      <c r="C25" s="215"/>
      <c r="D25" s="215"/>
      <c r="E25" s="206"/>
      <c r="F25" s="270"/>
      <c r="G25" s="206"/>
      <c r="H25" s="206"/>
      <c r="I25" s="206"/>
      <c r="J25" s="206"/>
      <c r="K25" s="206"/>
      <c r="L25" s="206"/>
      <c r="M25" s="39"/>
      <c r="N25" s="39"/>
      <c r="O25" s="39"/>
    </row>
    <row r="26" spans="1:15" ht="15.75" customHeight="1" x14ac:dyDescent="0.25">
      <c r="A26" s="235" t="s">
        <v>25</v>
      </c>
      <c r="B26" s="214" t="s">
        <v>26</v>
      </c>
      <c r="C26" s="214" t="s">
        <v>27</v>
      </c>
      <c r="D26" s="214" t="s">
        <v>13</v>
      </c>
      <c r="E26" s="206"/>
      <c r="F26" s="270"/>
      <c r="G26" s="206"/>
      <c r="H26" s="206"/>
      <c r="I26" s="206"/>
      <c r="J26" s="206"/>
      <c r="K26" s="206"/>
      <c r="L26" s="206"/>
      <c r="M26" s="39"/>
      <c r="N26" s="39"/>
      <c r="O26" s="39"/>
    </row>
    <row r="27" spans="1:15" ht="16.5" customHeight="1" thickBot="1" x14ac:dyDescent="0.3">
      <c r="A27" s="237"/>
      <c r="B27" s="215"/>
      <c r="C27" s="215"/>
      <c r="D27" s="215"/>
      <c r="E27" s="206"/>
      <c r="F27" s="270"/>
      <c r="G27" s="206"/>
      <c r="H27" s="206"/>
      <c r="I27" s="206"/>
      <c r="J27" s="206"/>
      <c r="K27" s="206"/>
      <c r="L27" s="206"/>
      <c r="M27" s="39"/>
      <c r="N27" s="39"/>
      <c r="O27" s="39"/>
    </row>
    <row r="28" spans="1:15" ht="32.25" thickBot="1" x14ac:dyDescent="0.3">
      <c r="A28" s="2" t="s">
        <v>89</v>
      </c>
      <c r="B28" s="2" t="s">
        <v>1</v>
      </c>
      <c r="C28" s="3" t="s">
        <v>2</v>
      </c>
      <c r="D28" s="3" t="s">
        <v>3</v>
      </c>
      <c r="E28" s="87">
        <v>2016</v>
      </c>
      <c r="F28" s="87">
        <v>2017</v>
      </c>
      <c r="G28" s="87">
        <v>2018</v>
      </c>
      <c r="H28" s="87">
        <v>2019</v>
      </c>
      <c r="I28" s="87">
        <v>2020</v>
      </c>
      <c r="J28" s="87">
        <v>2021</v>
      </c>
      <c r="K28" s="87">
        <v>2022</v>
      </c>
      <c r="L28" s="87">
        <v>2023</v>
      </c>
      <c r="M28" s="39"/>
      <c r="N28" s="39"/>
      <c r="O28" s="39"/>
    </row>
    <row r="29" spans="1:15" ht="25.5" customHeight="1" thickBot="1" x14ac:dyDescent="0.3">
      <c r="B29" s="25" t="s">
        <v>28</v>
      </c>
      <c r="C29" s="26" t="s">
        <v>29</v>
      </c>
      <c r="D29" s="80" t="s">
        <v>13</v>
      </c>
      <c r="E29" s="175"/>
      <c r="F29" s="140"/>
      <c r="G29" s="141"/>
      <c r="H29" s="141"/>
      <c r="I29" s="141"/>
      <c r="J29" s="141"/>
      <c r="K29" s="141"/>
      <c r="L29" s="142"/>
      <c r="M29" s="39"/>
      <c r="N29" s="39"/>
      <c r="O29" s="39"/>
    </row>
    <row r="30" spans="1:15" ht="25.5" customHeight="1" thickBot="1" x14ac:dyDescent="0.3">
      <c r="B30" s="27" t="s">
        <v>30</v>
      </c>
      <c r="C30" s="46" t="s">
        <v>31</v>
      </c>
      <c r="D30" s="81" t="s">
        <v>13</v>
      </c>
      <c r="E30" s="175"/>
      <c r="F30" s="143"/>
      <c r="G30" s="96"/>
      <c r="H30" s="96"/>
      <c r="I30" s="96"/>
      <c r="J30" s="96"/>
      <c r="K30" s="96"/>
      <c r="L30" s="144"/>
      <c r="M30" s="39"/>
      <c r="N30" s="39"/>
      <c r="O30" s="39"/>
    </row>
    <row r="31" spans="1:15" ht="25.5" customHeight="1" thickBot="1" x14ac:dyDescent="0.3">
      <c r="B31" s="27" t="s">
        <v>32</v>
      </c>
      <c r="C31" s="46" t="s">
        <v>33</v>
      </c>
      <c r="D31" s="81" t="s">
        <v>16</v>
      </c>
      <c r="E31" s="175"/>
      <c r="F31" s="143"/>
      <c r="G31" s="96"/>
      <c r="H31" s="96"/>
      <c r="I31" s="96"/>
      <c r="J31" s="96"/>
      <c r="K31" s="96"/>
      <c r="L31" s="144"/>
      <c r="M31" s="39"/>
      <c r="N31" s="39"/>
      <c r="O31" s="39"/>
    </row>
    <row r="32" spans="1:15" ht="25.5" customHeight="1" thickBot="1" x14ac:dyDescent="0.3">
      <c r="B32" s="27" t="s">
        <v>34</v>
      </c>
      <c r="C32" s="46" t="s">
        <v>35</v>
      </c>
      <c r="D32" s="81" t="s">
        <v>16</v>
      </c>
      <c r="E32" s="175"/>
      <c r="F32" s="143"/>
      <c r="G32" s="96"/>
      <c r="H32" s="96"/>
      <c r="I32" s="96"/>
      <c r="J32" s="96"/>
      <c r="K32" s="96"/>
      <c r="L32" s="144"/>
      <c r="M32" s="39"/>
      <c r="N32" s="39"/>
      <c r="O32" s="39"/>
    </row>
    <row r="33" spans="2:15" ht="25.5" customHeight="1" thickBot="1" x14ac:dyDescent="0.3">
      <c r="B33" s="34" t="s">
        <v>36</v>
      </c>
      <c r="C33" s="46" t="s">
        <v>37</v>
      </c>
      <c r="D33" s="81" t="s">
        <v>16</v>
      </c>
      <c r="E33" s="175"/>
      <c r="F33" s="143"/>
      <c r="G33" s="96"/>
      <c r="H33" s="96"/>
      <c r="I33" s="96"/>
      <c r="J33" s="96"/>
      <c r="K33" s="96"/>
      <c r="L33" s="144"/>
      <c r="M33" s="39"/>
      <c r="N33" s="39"/>
      <c r="O33" s="39"/>
    </row>
    <row r="34" spans="2:15" ht="25.5" customHeight="1" thickBot="1" x14ac:dyDescent="0.3">
      <c r="B34" s="34" t="s">
        <v>38</v>
      </c>
      <c r="C34" s="47" t="s">
        <v>39</v>
      </c>
      <c r="D34" s="81" t="s">
        <v>16</v>
      </c>
      <c r="E34" s="175"/>
      <c r="F34" s="143"/>
      <c r="G34" s="96"/>
      <c r="H34" s="96"/>
      <c r="I34" s="96"/>
      <c r="J34" s="96"/>
      <c r="K34" s="96"/>
      <c r="L34" s="144"/>
      <c r="M34" s="39"/>
      <c r="N34" s="39"/>
      <c r="O34" s="39"/>
    </row>
    <row r="35" spans="2:15" ht="25.5" customHeight="1" thickBot="1" x14ac:dyDescent="0.3">
      <c r="B35" s="34" t="s">
        <v>40</v>
      </c>
      <c r="C35" s="47" t="s">
        <v>41</v>
      </c>
      <c r="D35" s="81" t="s">
        <v>16</v>
      </c>
      <c r="E35" s="175"/>
      <c r="F35" s="143"/>
      <c r="G35" s="96"/>
      <c r="H35" s="96"/>
      <c r="I35" s="96"/>
      <c r="J35" s="96"/>
      <c r="K35" s="96"/>
      <c r="L35" s="144"/>
      <c r="M35" s="39"/>
      <c r="N35" s="39"/>
      <c r="O35" s="39"/>
    </row>
    <row r="36" spans="2:15" ht="25.5" customHeight="1" thickBot="1" x14ac:dyDescent="0.3">
      <c r="B36" s="34" t="s">
        <v>42</v>
      </c>
      <c r="C36" s="46" t="s">
        <v>43</v>
      </c>
      <c r="D36" s="82" t="s">
        <v>16</v>
      </c>
      <c r="E36" s="175"/>
      <c r="F36" s="143"/>
      <c r="G36" s="96"/>
      <c r="H36" s="96"/>
      <c r="I36" s="96"/>
      <c r="J36" s="96"/>
      <c r="K36" s="96"/>
      <c r="L36" s="144"/>
      <c r="M36" s="39"/>
      <c r="N36" s="39"/>
      <c r="O36" s="39"/>
    </row>
    <row r="37" spans="2:15" ht="25.5" customHeight="1" thickBot="1" x14ac:dyDescent="0.3">
      <c r="B37" s="34" t="s">
        <v>44</v>
      </c>
      <c r="C37" s="46" t="s">
        <v>45</v>
      </c>
      <c r="D37" s="83" t="s">
        <v>16</v>
      </c>
      <c r="E37" s="175"/>
      <c r="F37" s="143"/>
      <c r="G37" s="96"/>
      <c r="H37" s="96"/>
      <c r="I37" s="96"/>
      <c r="J37" s="96"/>
      <c r="K37" s="96"/>
      <c r="L37" s="144"/>
      <c r="M37" s="39"/>
      <c r="N37" s="39"/>
      <c r="O37" s="39"/>
    </row>
    <row r="38" spans="2:15" ht="25.5" customHeight="1" thickBot="1" x14ac:dyDescent="0.3">
      <c r="B38" s="34" t="s">
        <v>46</v>
      </c>
      <c r="C38" s="46" t="s">
        <v>47</v>
      </c>
      <c r="D38" s="82" t="s">
        <v>16</v>
      </c>
      <c r="E38" s="175"/>
      <c r="F38" s="143"/>
      <c r="G38" s="96"/>
      <c r="H38" s="96"/>
      <c r="I38" s="96"/>
      <c r="J38" s="96"/>
      <c r="K38" s="96"/>
      <c r="L38" s="144"/>
      <c r="M38" s="39"/>
      <c r="N38" s="39"/>
      <c r="O38" s="39"/>
    </row>
    <row r="39" spans="2:15" ht="25.5" customHeight="1" thickBot="1" x14ac:dyDescent="0.3">
      <c r="B39" s="34" t="s">
        <v>48</v>
      </c>
      <c r="C39" s="46" t="s">
        <v>49</v>
      </c>
      <c r="D39" s="84" t="s">
        <v>16</v>
      </c>
      <c r="E39" s="175"/>
      <c r="F39" s="143"/>
      <c r="G39" s="96"/>
      <c r="H39" s="96"/>
      <c r="I39" s="96"/>
      <c r="J39" s="96"/>
      <c r="K39" s="96"/>
      <c r="L39" s="144"/>
      <c r="M39" s="39"/>
      <c r="N39" s="39"/>
      <c r="O39" s="39"/>
    </row>
    <row r="40" spans="2:15" ht="25.5" customHeight="1" thickBot="1" x14ac:dyDescent="0.3">
      <c r="B40" s="34" t="s">
        <v>50</v>
      </c>
      <c r="C40" s="46" t="s">
        <v>51</v>
      </c>
      <c r="D40" s="84" t="s">
        <v>16</v>
      </c>
      <c r="E40" s="175"/>
      <c r="F40" s="143"/>
      <c r="G40" s="96"/>
      <c r="H40" s="96"/>
      <c r="I40" s="96"/>
      <c r="J40" s="96"/>
      <c r="K40" s="96"/>
      <c r="L40" s="144"/>
      <c r="M40" s="39"/>
      <c r="N40" s="39"/>
      <c r="O40" s="39"/>
    </row>
    <row r="41" spans="2:15" ht="25.5" customHeight="1" thickBot="1" x14ac:dyDescent="0.3">
      <c r="B41" s="34" t="s">
        <v>52</v>
      </c>
      <c r="C41" s="46" t="s">
        <v>53</v>
      </c>
      <c r="D41" s="82" t="s">
        <v>16</v>
      </c>
      <c r="E41" s="175"/>
      <c r="F41" s="143"/>
      <c r="G41" s="96"/>
      <c r="H41" s="96"/>
      <c r="I41" s="96"/>
      <c r="J41" s="96"/>
      <c r="K41" s="96"/>
      <c r="L41" s="144"/>
      <c r="M41" s="39"/>
      <c r="N41" s="39"/>
      <c r="O41" s="39"/>
    </row>
    <row r="42" spans="2:15" ht="25.5" customHeight="1" thickBot="1" x14ac:dyDescent="0.3">
      <c r="B42" s="34" t="s">
        <v>54</v>
      </c>
      <c r="C42" s="46" t="s">
        <v>55</v>
      </c>
      <c r="D42" s="82" t="s">
        <v>16</v>
      </c>
      <c r="E42" s="175"/>
      <c r="F42" s="143"/>
      <c r="G42" s="96"/>
      <c r="H42" s="96"/>
      <c r="I42" s="96"/>
      <c r="J42" s="96"/>
      <c r="K42" s="96"/>
      <c r="L42" s="144"/>
      <c r="M42" s="39"/>
      <c r="N42" s="39"/>
      <c r="O42" s="39"/>
    </row>
    <row r="43" spans="2:15" ht="25.5" customHeight="1" thickBot="1" x14ac:dyDescent="0.3">
      <c r="B43" s="34" t="s">
        <v>56</v>
      </c>
      <c r="C43" s="46" t="s">
        <v>57</v>
      </c>
      <c r="D43" s="82" t="s">
        <v>16</v>
      </c>
      <c r="E43" s="175"/>
      <c r="F43" s="143"/>
      <c r="G43" s="96"/>
      <c r="H43" s="96"/>
      <c r="I43" s="96"/>
      <c r="J43" s="96"/>
      <c r="K43" s="96"/>
      <c r="L43" s="144"/>
      <c r="M43" s="39"/>
      <c r="N43" s="39"/>
      <c r="O43" s="39"/>
    </row>
    <row r="44" spans="2:15" ht="25.5" customHeight="1" thickBot="1" x14ac:dyDescent="0.3">
      <c r="B44" s="34" t="s">
        <v>58</v>
      </c>
      <c r="C44" s="46" t="s">
        <v>59</v>
      </c>
      <c r="D44" s="82" t="s">
        <v>16</v>
      </c>
      <c r="E44" s="175"/>
      <c r="F44" s="143"/>
      <c r="G44" s="96"/>
      <c r="H44" s="96"/>
      <c r="I44" s="96"/>
      <c r="J44" s="96"/>
      <c r="K44" s="96"/>
      <c r="L44" s="144"/>
      <c r="M44" s="39"/>
      <c r="N44" s="39"/>
      <c r="O44" s="39"/>
    </row>
    <row r="45" spans="2:15" ht="25.5" customHeight="1" thickBot="1" x14ac:dyDescent="0.3">
      <c r="B45" s="34" t="s">
        <v>60</v>
      </c>
      <c r="C45" s="46" t="s">
        <v>61</v>
      </c>
      <c r="D45" s="82" t="s">
        <v>16</v>
      </c>
      <c r="E45" s="175"/>
      <c r="F45" s="143"/>
      <c r="G45" s="96"/>
      <c r="H45" s="96"/>
      <c r="I45" s="96"/>
      <c r="J45" s="96"/>
      <c r="K45" s="96"/>
      <c r="L45" s="144"/>
      <c r="M45" s="39"/>
      <c r="N45" s="39"/>
      <c r="O45" s="39"/>
    </row>
    <row r="46" spans="2:15" ht="25.5" customHeight="1" thickBot="1" x14ac:dyDescent="0.3">
      <c r="B46" s="34" t="s">
        <v>62</v>
      </c>
      <c r="C46" s="46" t="s">
        <v>63</v>
      </c>
      <c r="D46" s="82" t="s">
        <v>16</v>
      </c>
      <c r="E46" s="175"/>
      <c r="F46" s="143"/>
      <c r="G46" s="96"/>
      <c r="H46" s="96"/>
      <c r="I46" s="96"/>
      <c r="J46" s="96"/>
      <c r="K46" s="96"/>
      <c r="L46" s="144"/>
      <c r="M46" s="39"/>
      <c r="N46" s="39"/>
      <c r="O46" s="39"/>
    </row>
    <row r="47" spans="2:15" ht="25.5" customHeight="1" thickBot="1" x14ac:dyDescent="0.3">
      <c r="B47" s="34" t="s">
        <v>64</v>
      </c>
      <c r="C47" s="46" t="s">
        <v>65</v>
      </c>
      <c r="D47" s="82" t="s">
        <v>16</v>
      </c>
      <c r="E47" s="175"/>
      <c r="F47" s="143"/>
      <c r="G47" s="96"/>
      <c r="H47" s="96"/>
      <c r="I47" s="96"/>
      <c r="J47" s="96"/>
      <c r="K47" s="96"/>
      <c r="L47" s="144"/>
      <c r="M47" s="39"/>
      <c r="N47" s="39"/>
      <c r="O47" s="39"/>
    </row>
    <row r="48" spans="2:15" ht="25.5" customHeight="1" thickBot="1" x14ac:dyDescent="0.3">
      <c r="B48" s="28" t="s">
        <v>66</v>
      </c>
      <c r="C48" s="5" t="s">
        <v>67</v>
      </c>
      <c r="D48" s="85" t="s">
        <v>16</v>
      </c>
      <c r="E48" s="175"/>
      <c r="F48" s="143"/>
      <c r="G48" s="96"/>
      <c r="H48" s="96"/>
      <c r="I48" s="96"/>
      <c r="J48" s="96"/>
      <c r="K48" s="96"/>
      <c r="L48" s="144"/>
      <c r="M48" s="39"/>
      <c r="N48" s="39"/>
      <c r="O48" s="39"/>
    </row>
    <row r="49" spans="2:15" ht="25.5" customHeight="1" thickBot="1" x14ac:dyDescent="0.3">
      <c r="B49" s="29" t="s">
        <v>68</v>
      </c>
      <c r="C49" s="46" t="s">
        <v>69</v>
      </c>
      <c r="D49" s="86" t="s">
        <v>16</v>
      </c>
      <c r="E49" s="175"/>
      <c r="F49" s="143"/>
      <c r="G49" s="96"/>
      <c r="H49" s="96"/>
      <c r="I49" s="96"/>
      <c r="J49" s="96"/>
      <c r="K49" s="96"/>
      <c r="L49" s="144"/>
      <c r="M49" s="39"/>
      <c r="N49" s="39"/>
      <c r="O49" s="39"/>
    </row>
    <row r="50" spans="2:15" ht="25.5" customHeight="1" thickBot="1" x14ac:dyDescent="0.3">
      <c r="B50" s="34" t="s">
        <v>70</v>
      </c>
      <c r="C50" s="46" t="s">
        <v>71</v>
      </c>
      <c r="D50" s="81" t="s">
        <v>16</v>
      </c>
      <c r="E50" s="175"/>
      <c r="F50" s="143"/>
      <c r="G50" s="96"/>
      <c r="H50" s="96"/>
      <c r="I50" s="96"/>
      <c r="J50" s="96"/>
      <c r="K50" s="96"/>
      <c r="L50" s="144"/>
      <c r="M50" s="39"/>
      <c r="N50" s="39"/>
      <c r="O50" s="39"/>
    </row>
    <row r="51" spans="2:15" ht="25.5" customHeight="1" thickBot="1" x14ac:dyDescent="0.3">
      <c r="B51" s="34" t="s">
        <v>72</v>
      </c>
      <c r="C51" s="46" t="s">
        <v>73</v>
      </c>
      <c r="D51" s="81" t="s">
        <v>16</v>
      </c>
      <c r="E51" s="175"/>
      <c r="F51" s="143"/>
      <c r="G51" s="96"/>
      <c r="H51" s="96"/>
      <c r="I51" s="96"/>
      <c r="J51" s="96"/>
      <c r="K51" s="96"/>
      <c r="L51" s="144"/>
      <c r="M51" s="39"/>
      <c r="N51" s="39"/>
      <c r="O51" s="39"/>
    </row>
    <row r="52" spans="2:15" ht="25.5" customHeight="1" thickBot="1" x14ac:dyDescent="0.3">
      <c r="B52" s="34" t="s">
        <v>74</v>
      </c>
      <c r="C52" s="46" t="s">
        <v>75</v>
      </c>
      <c r="D52" s="81" t="s">
        <v>16</v>
      </c>
      <c r="E52" s="175"/>
      <c r="F52" s="143"/>
      <c r="G52" s="96"/>
      <c r="H52" s="96"/>
      <c r="I52" s="96"/>
      <c r="J52" s="96"/>
      <c r="K52" s="96"/>
      <c r="L52" s="144"/>
      <c r="M52" s="39"/>
      <c r="N52" s="39"/>
      <c r="O52" s="39"/>
    </row>
    <row r="53" spans="2:15" ht="25.5" customHeight="1" thickBot="1" x14ac:dyDescent="0.3">
      <c r="B53" s="34" t="s">
        <v>76</v>
      </c>
      <c r="C53" s="46" t="s">
        <v>77</v>
      </c>
      <c r="D53" s="81" t="s">
        <v>16</v>
      </c>
      <c r="E53" s="175"/>
      <c r="F53" s="145"/>
      <c r="G53" s="146"/>
      <c r="H53" s="146"/>
      <c r="I53" s="146"/>
      <c r="J53" s="146"/>
      <c r="K53" s="146"/>
      <c r="L53" s="147"/>
      <c r="M53" s="39"/>
      <c r="N53" s="39"/>
      <c r="O53" s="39"/>
    </row>
    <row r="54" spans="2:15" x14ac:dyDescent="0.25">
      <c r="F54" s="40"/>
      <c r="G54" s="40"/>
      <c r="H54" s="39"/>
      <c r="I54" s="39"/>
      <c r="J54" s="39"/>
      <c r="K54" s="39"/>
      <c r="L54" s="39"/>
      <c r="M54" s="39"/>
      <c r="N54" s="39"/>
      <c r="O54" s="39"/>
    </row>
    <row r="55" spans="2:15" x14ac:dyDescent="0.25">
      <c r="F55" s="40"/>
      <c r="G55" s="40"/>
      <c r="H55" s="39"/>
      <c r="I55" s="39"/>
      <c r="J55" s="39"/>
      <c r="K55" s="39"/>
      <c r="L55" s="39"/>
      <c r="M55" s="39"/>
      <c r="N55" s="39"/>
      <c r="O55" s="39"/>
    </row>
    <row r="56" spans="2:15" x14ac:dyDescent="0.25">
      <c r="F56" s="33"/>
      <c r="G56" s="33"/>
    </row>
  </sheetData>
  <sheetProtection algorithmName="SHA-512" hashValue="vNsFKnmKWoW/p57uHhSBZrwmbzVsAYHckT029zzv3qynJfnuuh026KW8xKPVMM6zJiCJYk4xVuJcbg4etv7zuQ==" saltValue="fUfFKtLOdZyg39/BDoD/Xw==" spinCount="100000" sheet="1" selectLockedCells="1"/>
  <mergeCells count="93">
    <mergeCell ref="E12:E13"/>
    <mergeCell ref="E14:E15"/>
    <mergeCell ref="E16:E17"/>
    <mergeCell ref="E18:E19"/>
    <mergeCell ref="E20:E21"/>
    <mergeCell ref="L26:L27"/>
    <mergeCell ref="G26:G27"/>
    <mergeCell ref="H26:H27"/>
    <mergeCell ref="I26:I27"/>
    <mergeCell ref="J26:J27"/>
    <mergeCell ref="K26:K27"/>
    <mergeCell ref="A26:A27"/>
    <mergeCell ref="B26:B27"/>
    <mergeCell ref="C26:C27"/>
    <mergeCell ref="D26:D27"/>
    <mergeCell ref="F26:F27"/>
    <mergeCell ref="E26:E27"/>
    <mergeCell ref="H24:H25"/>
    <mergeCell ref="I24:I25"/>
    <mergeCell ref="J24:J25"/>
    <mergeCell ref="K24:K25"/>
    <mergeCell ref="L24:L25"/>
    <mergeCell ref="B24:B25"/>
    <mergeCell ref="C24:C25"/>
    <mergeCell ref="D24:D25"/>
    <mergeCell ref="F24:F25"/>
    <mergeCell ref="G24:G25"/>
    <mergeCell ref="E24:E25"/>
    <mergeCell ref="H22:H23"/>
    <mergeCell ref="I22:I23"/>
    <mergeCell ref="J22:J23"/>
    <mergeCell ref="K22:K23"/>
    <mergeCell ref="L22:L23"/>
    <mergeCell ref="B22:B23"/>
    <mergeCell ref="C22:C23"/>
    <mergeCell ref="D22:D23"/>
    <mergeCell ref="F22:F23"/>
    <mergeCell ref="G22:G23"/>
    <mergeCell ref="E22:E23"/>
    <mergeCell ref="H20:H21"/>
    <mergeCell ref="I20:I21"/>
    <mergeCell ref="J20:J21"/>
    <mergeCell ref="K20:K21"/>
    <mergeCell ref="L20:L21"/>
    <mergeCell ref="B20:B21"/>
    <mergeCell ref="C20:C21"/>
    <mergeCell ref="D20:D21"/>
    <mergeCell ref="F20:F21"/>
    <mergeCell ref="G20:G21"/>
    <mergeCell ref="H18:H19"/>
    <mergeCell ref="I18:I19"/>
    <mergeCell ref="J18:J19"/>
    <mergeCell ref="K18:K19"/>
    <mergeCell ref="L18:L19"/>
    <mergeCell ref="D14:D15"/>
    <mergeCell ref="F14:F15"/>
    <mergeCell ref="G14:G15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B14:B15"/>
    <mergeCell ref="C14:C15"/>
    <mergeCell ref="L14:L15"/>
    <mergeCell ref="H16:H17"/>
    <mergeCell ref="I16:I17"/>
    <mergeCell ref="J16:J17"/>
    <mergeCell ref="K16:K17"/>
    <mergeCell ref="L16:L17"/>
    <mergeCell ref="H14:H15"/>
    <mergeCell ref="I14:I15"/>
    <mergeCell ref="A1:L2"/>
    <mergeCell ref="C3:H3"/>
    <mergeCell ref="A4:L4"/>
    <mergeCell ref="A12:A2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</mergeCells>
  <dataValidations count="10">
    <dataValidation type="textLength" allowBlank="1" showInputMessage="1" showErrorMessage="1" error="El NIF introduit no és vàlid " sqref="C8" xr:uid="{831ACF92-B96A-43E8-A00D-F02FBF503344}">
      <formula1>9</formula1>
      <formula2>9</formula2>
    </dataValidation>
    <dataValidation type="whole" allowBlank="1" showInputMessage="1" showErrorMessage="1" error="Valor=0 o 1" sqref="F46:L53 E46:E53 E12:E15" xr:uid="{6D91377C-9665-4501-BFAC-160CAB8C79E1}">
      <formula1>0</formula1>
      <formula2>1</formula2>
    </dataValidation>
    <dataValidation type="whole" allowBlank="1" showInputMessage="1" showErrorMessage="1" error="Valor=1" sqref="F43:L43" xr:uid="{7FB0BF2D-735D-4A47-8C42-A6AA0AEF1815}">
      <formula1>1</formula1>
      <formula2>1</formula2>
    </dataValidation>
    <dataValidation type="whole" allowBlank="1" showInputMessage="1" showErrorMessage="1" error="Valor= 0 o 1 _x000a_" sqref="F35:L35 F39:L39" xr:uid="{05EC6FA4-A2CE-4794-98B8-96580F28A62D}">
      <formula1>0</formula1>
      <formula2>1</formula2>
    </dataValidation>
    <dataValidation type="whole" allowBlank="1" showInputMessage="1" showErrorMessage="1" error="Valor=0 _x000a_" sqref="F18:L19" xr:uid="{A38376F8-F77B-4C79-92BC-2AA85FEB11D8}">
      <formula1>0</formula1>
      <formula2>0</formula2>
    </dataValidation>
    <dataValidation type="whole" allowBlank="1" showErrorMessage="1" error="Valor= 0 o 1 " promptTitle="jjjjj" sqref="F12:L15" xr:uid="{EC7CE1DE-ECBE-45BA-9ED6-9DECC5CD7558}">
      <formula1>0</formula1>
      <formula2>1</formula2>
    </dataValidation>
    <dataValidation type="whole" allowBlank="1" showErrorMessage="1" error="Valor= 0 o 1 _x000a_" sqref="F34:L34" xr:uid="{7A06EB73-6418-49D6-9CCC-16A731814F0B}">
      <formula1>0</formula1>
      <formula2>1</formula2>
    </dataValidation>
    <dataValidation type="whole" operator="equal" allowBlank="1" showInputMessage="1" showErrorMessage="1" error="Valor=0 " sqref="E18:E19" xr:uid="{8235BFFB-ADB5-4158-AAE7-FCF3995B184E}">
      <formula1>0</formula1>
    </dataValidation>
    <dataValidation type="whole" allowBlank="1" showInputMessage="1" showErrorMessage="1" error="Valor= 0 o 1" sqref="E34:E35 E39" xr:uid="{DE64BE65-DB91-4CC1-A058-0F95E674941E}">
      <formula1>0</formula1>
      <formula2>1</formula2>
    </dataValidation>
    <dataValidation type="whole" operator="equal" allowBlank="1" showInputMessage="1" showErrorMessage="1" error="Valor=1_x000a_" sqref="E43" xr:uid="{AADA033D-6D22-4A02-BD36-059EC5465835}">
      <formula1>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13</vt:i4>
      </vt:variant>
      <vt:variant>
        <vt:lpstr>Intervals amb nom</vt:lpstr>
      </vt:variant>
      <vt:variant>
        <vt:i4>3208</vt:i4>
      </vt:variant>
    </vt:vector>
  </HeadingPairs>
  <TitlesOfParts>
    <vt:vector size="3221" baseType="lpstr">
      <vt:lpstr>Sol·licitant</vt:lpstr>
      <vt:lpstr>Participant 1</vt:lpstr>
      <vt:lpstr>Participant 2</vt:lpstr>
      <vt:lpstr>Participant 3</vt:lpstr>
      <vt:lpstr>Participant 4</vt:lpstr>
      <vt:lpstr>Participant 5</vt:lpstr>
      <vt:lpstr>Participant 6</vt:lpstr>
      <vt:lpstr>Participant 7</vt:lpstr>
      <vt:lpstr>Participant 8</vt:lpstr>
      <vt:lpstr>Participant 9 </vt:lpstr>
      <vt:lpstr>Participant 10</vt:lpstr>
      <vt:lpstr>Participant 11</vt:lpstr>
      <vt:lpstr>Sitges </vt:lpstr>
      <vt:lpstr>aigua1_2016</vt:lpstr>
      <vt:lpstr>aigua1_2017</vt:lpstr>
      <vt:lpstr>aigua1_2018</vt:lpstr>
      <vt:lpstr>aigua1_2019</vt:lpstr>
      <vt:lpstr>aigua1_2020</vt:lpstr>
      <vt:lpstr>aigua1_2021</vt:lpstr>
      <vt:lpstr>aigua1_2022</vt:lpstr>
      <vt:lpstr>aigua1_2023</vt:lpstr>
      <vt:lpstr>aigua10_2016</vt:lpstr>
      <vt:lpstr>aigua10_2017</vt:lpstr>
      <vt:lpstr>aigua10_2018</vt:lpstr>
      <vt:lpstr>aigua10_2019</vt:lpstr>
      <vt:lpstr>aigua10_2020</vt:lpstr>
      <vt:lpstr>aigua10_2021</vt:lpstr>
      <vt:lpstr>aigua10_2022</vt:lpstr>
      <vt:lpstr>aigua10_2023</vt:lpstr>
      <vt:lpstr>aigua11_2016</vt:lpstr>
      <vt:lpstr>aigua11_2017</vt:lpstr>
      <vt:lpstr>aigua11_2018</vt:lpstr>
      <vt:lpstr>aigua11_2019</vt:lpstr>
      <vt:lpstr>aigua11_2020</vt:lpstr>
      <vt:lpstr>aigua11_2021</vt:lpstr>
      <vt:lpstr>aigua11_2022</vt:lpstr>
      <vt:lpstr>aigua11_2023</vt:lpstr>
      <vt:lpstr>aigua2_2016</vt:lpstr>
      <vt:lpstr>aigua2_2017</vt:lpstr>
      <vt:lpstr>aigua2_2018</vt:lpstr>
      <vt:lpstr>aigua2_2019</vt:lpstr>
      <vt:lpstr>aigua2_2020</vt:lpstr>
      <vt:lpstr>aigua2_2021</vt:lpstr>
      <vt:lpstr>aigua2_2022</vt:lpstr>
      <vt:lpstr>aigua2_2023</vt:lpstr>
      <vt:lpstr>aigua2016</vt:lpstr>
      <vt:lpstr>aigua2017</vt:lpstr>
      <vt:lpstr>aigua2018</vt:lpstr>
      <vt:lpstr>aigua2019</vt:lpstr>
      <vt:lpstr>aigua2020</vt:lpstr>
      <vt:lpstr>aigua2021</vt:lpstr>
      <vt:lpstr>aigua2022</vt:lpstr>
      <vt:lpstr>aigua2023</vt:lpstr>
      <vt:lpstr>aigua3_2016</vt:lpstr>
      <vt:lpstr>aigua3_2017</vt:lpstr>
      <vt:lpstr>aigua3_2018</vt:lpstr>
      <vt:lpstr>aigua3_2019</vt:lpstr>
      <vt:lpstr>aigua3_2020</vt:lpstr>
      <vt:lpstr>aigua3_2021</vt:lpstr>
      <vt:lpstr>aigua3_2022</vt:lpstr>
      <vt:lpstr>aigua3_2023</vt:lpstr>
      <vt:lpstr>aigua4_2016</vt:lpstr>
      <vt:lpstr>aigua4_2017</vt:lpstr>
      <vt:lpstr>aigua4_2018</vt:lpstr>
      <vt:lpstr>aigua4_2019</vt:lpstr>
      <vt:lpstr>aigua4_2020</vt:lpstr>
      <vt:lpstr>aigua4_2021</vt:lpstr>
      <vt:lpstr>aigua4_2022</vt:lpstr>
      <vt:lpstr>aigua4_2023</vt:lpstr>
      <vt:lpstr>aigua5_2016</vt:lpstr>
      <vt:lpstr>aigua5_2017</vt:lpstr>
      <vt:lpstr>aigua5_2018</vt:lpstr>
      <vt:lpstr>aigua5_2019</vt:lpstr>
      <vt:lpstr>aigua5_2020</vt:lpstr>
      <vt:lpstr>aigua5_2021</vt:lpstr>
      <vt:lpstr>aigua5_2022</vt:lpstr>
      <vt:lpstr>aigua5_2023</vt:lpstr>
      <vt:lpstr>aigua6_2016</vt:lpstr>
      <vt:lpstr>aigua6_2017</vt:lpstr>
      <vt:lpstr>aigua6_2018</vt:lpstr>
      <vt:lpstr>aigua6_2019</vt:lpstr>
      <vt:lpstr>aigua6_2020</vt:lpstr>
      <vt:lpstr>aigua6_2021</vt:lpstr>
      <vt:lpstr>aigua6_2022</vt:lpstr>
      <vt:lpstr>aigua6_2023</vt:lpstr>
      <vt:lpstr>aigua7_2016</vt:lpstr>
      <vt:lpstr>aigua7_2017</vt:lpstr>
      <vt:lpstr>aigua7_2018</vt:lpstr>
      <vt:lpstr>aigua7_2019</vt:lpstr>
      <vt:lpstr>aigua7_2020</vt:lpstr>
      <vt:lpstr>aigua7_2021</vt:lpstr>
      <vt:lpstr>aigua7_2022</vt:lpstr>
      <vt:lpstr>aigua7_2023</vt:lpstr>
      <vt:lpstr>aigua8_2016</vt:lpstr>
      <vt:lpstr>aigua8_2017</vt:lpstr>
      <vt:lpstr>aigua8_2018</vt:lpstr>
      <vt:lpstr>aigua8_2019</vt:lpstr>
      <vt:lpstr>aigua8_2020</vt:lpstr>
      <vt:lpstr>aigua8_2021</vt:lpstr>
      <vt:lpstr>aigua8_2022</vt:lpstr>
      <vt:lpstr>aigua8_2023</vt:lpstr>
      <vt:lpstr>aigua9_2016</vt:lpstr>
      <vt:lpstr>aigua9_2017</vt:lpstr>
      <vt:lpstr>aigua9_2018</vt:lpstr>
      <vt:lpstr>aigua9_2019</vt:lpstr>
      <vt:lpstr>aigua9_2020</vt:lpstr>
      <vt:lpstr>aigua9_2021</vt:lpstr>
      <vt:lpstr>aigua9_2022</vt:lpstr>
      <vt:lpstr>aigua9_2023</vt:lpstr>
      <vt:lpstr>ajdues11_2016</vt:lpstr>
      <vt:lpstr>ajudes1_2016</vt:lpstr>
      <vt:lpstr>ajudes1_2017</vt:lpstr>
      <vt:lpstr>ajudes1_2018</vt:lpstr>
      <vt:lpstr>ajudes1_2019</vt:lpstr>
      <vt:lpstr>ajudes1_2020</vt:lpstr>
      <vt:lpstr>ajudes1_2021</vt:lpstr>
      <vt:lpstr>ajudes1_2022</vt:lpstr>
      <vt:lpstr>ajudes1_2023</vt:lpstr>
      <vt:lpstr>ajudes10_2016</vt:lpstr>
      <vt:lpstr>ajudes10_2017</vt:lpstr>
      <vt:lpstr>ajudes10_2018</vt:lpstr>
      <vt:lpstr>ajudes10_2019</vt:lpstr>
      <vt:lpstr>ajudes10_2020</vt:lpstr>
      <vt:lpstr>ajudes10_2021</vt:lpstr>
      <vt:lpstr>ajudes10_2022</vt:lpstr>
      <vt:lpstr>ajudes10_2023</vt:lpstr>
      <vt:lpstr>ajudes11_2017</vt:lpstr>
      <vt:lpstr>ajudes11_2018</vt:lpstr>
      <vt:lpstr>ajudes11_2019</vt:lpstr>
      <vt:lpstr>ajudes11_2020</vt:lpstr>
      <vt:lpstr>ajudes11_2021</vt:lpstr>
      <vt:lpstr>ajudes11_2022</vt:lpstr>
      <vt:lpstr>ajudes11_2023</vt:lpstr>
      <vt:lpstr>ajudes2_2016</vt:lpstr>
      <vt:lpstr>ajudes2_2017</vt:lpstr>
      <vt:lpstr>ajudes2_2018</vt:lpstr>
      <vt:lpstr>ajudes2_2019</vt:lpstr>
      <vt:lpstr>ajudes2_2020</vt:lpstr>
      <vt:lpstr>ajudes2_2021</vt:lpstr>
      <vt:lpstr>ajudes2_2022</vt:lpstr>
      <vt:lpstr>ajudes2_2023</vt:lpstr>
      <vt:lpstr>ajudes2016</vt:lpstr>
      <vt:lpstr>ajudes2017</vt:lpstr>
      <vt:lpstr>ajudes2018</vt:lpstr>
      <vt:lpstr>ajudes2019</vt:lpstr>
      <vt:lpstr>ajudes2020</vt:lpstr>
      <vt:lpstr>ajudes2021</vt:lpstr>
      <vt:lpstr>ajudes2022</vt:lpstr>
      <vt:lpstr>ajudes2023</vt:lpstr>
      <vt:lpstr>ajudes3_2016</vt:lpstr>
      <vt:lpstr>ajudes3_2017</vt:lpstr>
      <vt:lpstr>ajudes3_2018</vt:lpstr>
      <vt:lpstr>ajudes3_2019</vt:lpstr>
      <vt:lpstr>ajudes3_2020</vt:lpstr>
      <vt:lpstr>ajudes3_2021</vt:lpstr>
      <vt:lpstr>ajudes3_2022</vt:lpstr>
      <vt:lpstr>ajudes3_2023</vt:lpstr>
      <vt:lpstr>ajudes4_2016</vt:lpstr>
      <vt:lpstr>ajudes4_2017</vt:lpstr>
      <vt:lpstr>ajudes4_2018</vt:lpstr>
      <vt:lpstr>ajudes4_2019</vt:lpstr>
      <vt:lpstr>ajudes4_2020</vt:lpstr>
      <vt:lpstr>ajudes4_2021</vt:lpstr>
      <vt:lpstr>ajudes4_2022</vt:lpstr>
      <vt:lpstr>ajudes4_2023</vt:lpstr>
      <vt:lpstr>ajudes5_2016</vt:lpstr>
      <vt:lpstr>ajudes5_2017</vt:lpstr>
      <vt:lpstr>ajudes5_2018</vt:lpstr>
      <vt:lpstr>ajudes5_2019</vt:lpstr>
      <vt:lpstr>ajudes5_2020</vt:lpstr>
      <vt:lpstr>ajudes5_2021</vt:lpstr>
      <vt:lpstr>ajudes5_2022</vt:lpstr>
      <vt:lpstr>ajudes5_2023</vt:lpstr>
      <vt:lpstr>ajudes6_2016</vt:lpstr>
      <vt:lpstr>ajudes6_2017</vt:lpstr>
      <vt:lpstr>ajudes6_2018</vt:lpstr>
      <vt:lpstr>ajudes6_2019</vt:lpstr>
      <vt:lpstr>ajudes6_2020</vt:lpstr>
      <vt:lpstr>ajudes6_2021</vt:lpstr>
      <vt:lpstr>ajudes6_2022</vt:lpstr>
      <vt:lpstr>ajudes6_2023</vt:lpstr>
      <vt:lpstr>ajudes7_2016</vt:lpstr>
      <vt:lpstr>ajudes7_2017</vt:lpstr>
      <vt:lpstr>ajudes7_2018</vt:lpstr>
      <vt:lpstr>ajudes7_2019</vt:lpstr>
      <vt:lpstr>ajudes7_2020</vt:lpstr>
      <vt:lpstr>ajudes7_2021</vt:lpstr>
      <vt:lpstr>ajudes7_2022</vt:lpstr>
      <vt:lpstr>ajudes7_2023</vt:lpstr>
      <vt:lpstr>ajudes8_2016</vt:lpstr>
      <vt:lpstr>ajudes8_2017</vt:lpstr>
      <vt:lpstr>ajudes8_2018</vt:lpstr>
      <vt:lpstr>ajudes8_2019</vt:lpstr>
      <vt:lpstr>ajudes8_2020</vt:lpstr>
      <vt:lpstr>ajudes8_2021</vt:lpstr>
      <vt:lpstr>ajudes8_2022</vt:lpstr>
      <vt:lpstr>ajudes8_2023</vt:lpstr>
      <vt:lpstr>ajudes9_2016</vt:lpstr>
      <vt:lpstr>ajudes9_2017</vt:lpstr>
      <vt:lpstr>ajudes9_2018</vt:lpstr>
      <vt:lpstr>ajudes9_2019</vt:lpstr>
      <vt:lpstr>ajudes9_2020</vt:lpstr>
      <vt:lpstr>ajudes9_2021</vt:lpstr>
      <vt:lpstr>ajudes9_2022</vt:lpstr>
      <vt:lpstr>ajudes9_2023</vt:lpstr>
      <vt:lpstr>'Participant 3'!Àrea_d'impressió</vt:lpstr>
      <vt:lpstr>centresderecerca1_2016</vt:lpstr>
      <vt:lpstr>centresderecerca10_2016</vt:lpstr>
      <vt:lpstr>centresderecerca11_2016</vt:lpstr>
      <vt:lpstr>centresderecerca2_2016</vt:lpstr>
      <vt:lpstr>centresderecerca3_2016</vt:lpstr>
      <vt:lpstr>centresderecerca4_2016</vt:lpstr>
      <vt:lpstr>centresderecerca5_2016</vt:lpstr>
      <vt:lpstr>centresderecerca6_2016</vt:lpstr>
      <vt:lpstr>centresderecerca7_2016</vt:lpstr>
      <vt:lpstr>centresderecerca8_2016</vt:lpstr>
      <vt:lpstr>centresderecerca9_2016</vt:lpstr>
      <vt:lpstr>centresrecerca1_2017</vt:lpstr>
      <vt:lpstr>centresrecerca1_2018</vt:lpstr>
      <vt:lpstr>centresrecerca1_2019</vt:lpstr>
      <vt:lpstr>centresrecerca1_2020</vt:lpstr>
      <vt:lpstr>centresrecerca1_2021</vt:lpstr>
      <vt:lpstr>centresrecerca1_2022</vt:lpstr>
      <vt:lpstr>centresrecerca1_2023</vt:lpstr>
      <vt:lpstr>centresrecerca10_2017</vt:lpstr>
      <vt:lpstr>centresrecerca10_2018</vt:lpstr>
      <vt:lpstr>centresrecerca10_2019</vt:lpstr>
      <vt:lpstr>centresrecerca10_2020</vt:lpstr>
      <vt:lpstr>centresrecerca10_2021</vt:lpstr>
      <vt:lpstr>centresrecerca10_2022</vt:lpstr>
      <vt:lpstr>centresrecerca10_2023</vt:lpstr>
      <vt:lpstr>centresrecerca11_2017</vt:lpstr>
      <vt:lpstr>centresrecerca11_2018</vt:lpstr>
      <vt:lpstr>centresrecerca11_2019</vt:lpstr>
      <vt:lpstr>centresrecerca11_2020</vt:lpstr>
      <vt:lpstr>centresrecerca11_2021</vt:lpstr>
      <vt:lpstr>centresrecerca11_2022</vt:lpstr>
      <vt:lpstr>centresrecerca11_2023</vt:lpstr>
      <vt:lpstr>centresrecerca2_2017</vt:lpstr>
      <vt:lpstr>centresrecerca2_2018</vt:lpstr>
      <vt:lpstr>centresrecerca2_2019</vt:lpstr>
      <vt:lpstr>centresrecerca2_2020</vt:lpstr>
      <vt:lpstr>centresrecerca2_2021</vt:lpstr>
      <vt:lpstr>centresrecerca2_2022</vt:lpstr>
      <vt:lpstr>centresrecerca2_2023</vt:lpstr>
      <vt:lpstr>centresrecerca2016</vt:lpstr>
      <vt:lpstr>centresrecerca2017</vt:lpstr>
      <vt:lpstr>centresrecerca2018</vt:lpstr>
      <vt:lpstr>centresrecerca2019</vt:lpstr>
      <vt:lpstr>centresrecerca2020</vt:lpstr>
      <vt:lpstr>centresrecerca2021</vt:lpstr>
      <vt:lpstr>centresrecerca2022</vt:lpstr>
      <vt:lpstr>centresrecerca2023</vt:lpstr>
      <vt:lpstr>centresrecerca3_2017</vt:lpstr>
      <vt:lpstr>centresrecerca3_2018</vt:lpstr>
      <vt:lpstr>centresrecerca3_2019</vt:lpstr>
      <vt:lpstr>centresrecerca3_2020</vt:lpstr>
      <vt:lpstr>centresrecerca3_2021</vt:lpstr>
      <vt:lpstr>centresrecerca3_2022</vt:lpstr>
      <vt:lpstr>centresrecerca3_2023</vt:lpstr>
      <vt:lpstr>centresrecerca4_2017</vt:lpstr>
      <vt:lpstr>centresrecerca4_2018</vt:lpstr>
      <vt:lpstr>centresrecerca4_2019</vt:lpstr>
      <vt:lpstr>centresrecerca4_2020</vt:lpstr>
      <vt:lpstr>centresrecerca4_2021</vt:lpstr>
      <vt:lpstr>centresrecerca4_2022</vt:lpstr>
      <vt:lpstr>centresrecerca4_2023</vt:lpstr>
      <vt:lpstr>centresrecerca5_2017</vt:lpstr>
      <vt:lpstr>centresrecerca5_2018</vt:lpstr>
      <vt:lpstr>centresrecerca5_2019</vt:lpstr>
      <vt:lpstr>centresrecerca5_2020</vt:lpstr>
      <vt:lpstr>centresrecerca5_2021</vt:lpstr>
      <vt:lpstr>centresrecerca5_2022</vt:lpstr>
      <vt:lpstr>centresrecerca5_2023</vt:lpstr>
      <vt:lpstr>centresrecerca6_2017</vt:lpstr>
      <vt:lpstr>centresrecerca6_2018</vt:lpstr>
      <vt:lpstr>centresrecerca6_2019</vt:lpstr>
      <vt:lpstr>centresrecerca6_2020</vt:lpstr>
      <vt:lpstr>centresrecerca6_2021</vt:lpstr>
      <vt:lpstr>centresrecerca6_2022</vt:lpstr>
      <vt:lpstr>centresrecerca6_2023</vt:lpstr>
      <vt:lpstr>centresrecerca7_2017</vt:lpstr>
      <vt:lpstr>centresrecerca7_2018</vt:lpstr>
      <vt:lpstr>centresrecerca7_2019</vt:lpstr>
      <vt:lpstr>centresrecerca7_2020</vt:lpstr>
      <vt:lpstr>centresrecerca7_2021</vt:lpstr>
      <vt:lpstr>centresrecerca7_2022</vt:lpstr>
      <vt:lpstr>centresrecerca7_2023</vt:lpstr>
      <vt:lpstr>centresrecerca8_2017</vt:lpstr>
      <vt:lpstr>centresrecerca8_2018</vt:lpstr>
      <vt:lpstr>centresrecerca8_2019</vt:lpstr>
      <vt:lpstr>centresrecerca8_2020</vt:lpstr>
      <vt:lpstr>centresrecerca8_2021</vt:lpstr>
      <vt:lpstr>centresrecerca8_2022</vt:lpstr>
      <vt:lpstr>centresrecerca8_2023</vt:lpstr>
      <vt:lpstr>centresrecerca9_2017</vt:lpstr>
      <vt:lpstr>centresrecerca9_2018</vt:lpstr>
      <vt:lpstr>centresrecerca9_2019</vt:lpstr>
      <vt:lpstr>centresrecerca9_2020</vt:lpstr>
      <vt:lpstr>centresrecerca9_2021</vt:lpstr>
      <vt:lpstr>centresrecerca9_2022</vt:lpstr>
      <vt:lpstr>centresrecerca9_2023</vt:lpstr>
      <vt:lpstr>centrestecnologics1_2016</vt:lpstr>
      <vt:lpstr>centrestecnologics1_2017</vt:lpstr>
      <vt:lpstr>centrestecnologics1_2018</vt:lpstr>
      <vt:lpstr>centrestecnologics1_2019</vt:lpstr>
      <vt:lpstr>centrestecnologics1_2020</vt:lpstr>
      <vt:lpstr>centrestecnologics1_2021</vt:lpstr>
      <vt:lpstr>centrestecnologics1_2022</vt:lpstr>
      <vt:lpstr>centrestecnologics1_2023</vt:lpstr>
      <vt:lpstr>centrestecnologics10_2016</vt:lpstr>
      <vt:lpstr>centrestecnologics10_2017</vt:lpstr>
      <vt:lpstr>centrestecnologics10_2018</vt:lpstr>
      <vt:lpstr>centrestecnologics10_2019</vt:lpstr>
      <vt:lpstr>centrestecnologics10_2020</vt:lpstr>
      <vt:lpstr>centrestecnologics10_2021</vt:lpstr>
      <vt:lpstr>centrestecnologics10_2022</vt:lpstr>
      <vt:lpstr>centrestecnologics10_2023</vt:lpstr>
      <vt:lpstr>centrestecnologics11_2016</vt:lpstr>
      <vt:lpstr>centrestecnologics11_2017</vt:lpstr>
      <vt:lpstr>centrestecnologics11_2018</vt:lpstr>
      <vt:lpstr>centrestecnologics11_2019</vt:lpstr>
      <vt:lpstr>centrestecnologics11_2020</vt:lpstr>
      <vt:lpstr>centrestecnologics11_2021</vt:lpstr>
      <vt:lpstr>centrestecnologics11_2022</vt:lpstr>
      <vt:lpstr>centrestecnologics11_2023</vt:lpstr>
      <vt:lpstr>centrestecnologics2_2016</vt:lpstr>
      <vt:lpstr>centrestecnologics2_2017</vt:lpstr>
      <vt:lpstr>centrestecnologics2_2018</vt:lpstr>
      <vt:lpstr>centrestecnologics2_2019</vt:lpstr>
      <vt:lpstr>centrestecnologics2_2020</vt:lpstr>
      <vt:lpstr>centrestecnologics2_2021</vt:lpstr>
      <vt:lpstr>centrestecnologics2_2022</vt:lpstr>
      <vt:lpstr>centrestecnologics2_2023</vt:lpstr>
      <vt:lpstr>centrestecnologics2016</vt:lpstr>
      <vt:lpstr>centrestecnologics2017</vt:lpstr>
      <vt:lpstr>centrestecnologics2018</vt:lpstr>
      <vt:lpstr>centrestecnologics2019</vt:lpstr>
      <vt:lpstr>centrestecnologics2020</vt:lpstr>
      <vt:lpstr>centrestecnologics2021</vt:lpstr>
      <vt:lpstr>centrestecnologics2022</vt:lpstr>
      <vt:lpstr>centrestecnologics2023</vt:lpstr>
      <vt:lpstr>centrestecnologics3_2016</vt:lpstr>
      <vt:lpstr>centrestecnologics3_2017</vt:lpstr>
      <vt:lpstr>centrestecnologics3_2018</vt:lpstr>
      <vt:lpstr>centrestecnologics3_2019</vt:lpstr>
      <vt:lpstr>centrestecnologics3_2020</vt:lpstr>
      <vt:lpstr>centrestecnologics3_2021</vt:lpstr>
      <vt:lpstr>centrestecnologics3_2022</vt:lpstr>
      <vt:lpstr>centrestecnologics3_2023</vt:lpstr>
      <vt:lpstr>centrestecnologics4_2016</vt:lpstr>
      <vt:lpstr>centrestecnologics4_2017</vt:lpstr>
      <vt:lpstr>centrestecnologics4_2018</vt:lpstr>
      <vt:lpstr>centrestecnologics4_2019</vt:lpstr>
      <vt:lpstr>centrestecnologics4_2020</vt:lpstr>
      <vt:lpstr>centrestecnologics4_2021</vt:lpstr>
      <vt:lpstr>centrestecnologics4_2022</vt:lpstr>
      <vt:lpstr>centrestecnologics4_2023</vt:lpstr>
      <vt:lpstr>centrestecnologics5_2016</vt:lpstr>
      <vt:lpstr>centrestecnologics5_2017</vt:lpstr>
      <vt:lpstr>centrestecnologics5_2018</vt:lpstr>
      <vt:lpstr>centrestecnologics5_2019</vt:lpstr>
      <vt:lpstr>centrestecnologics5_2020</vt:lpstr>
      <vt:lpstr>centrestecnologics5_2021</vt:lpstr>
      <vt:lpstr>centrestecnologics5_2022</vt:lpstr>
      <vt:lpstr>centrestecnologics5_2023</vt:lpstr>
      <vt:lpstr>centrestecnologics6_2016</vt:lpstr>
      <vt:lpstr>centrestecnologics6_2017</vt:lpstr>
      <vt:lpstr>centrestecnologics6_2018</vt:lpstr>
      <vt:lpstr>centrestecnologics6_2019</vt:lpstr>
      <vt:lpstr>centrestecnologics6_2020</vt:lpstr>
      <vt:lpstr>centrestecnologics6_2021</vt:lpstr>
      <vt:lpstr>centrestecnologics6_2022</vt:lpstr>
      <vt:lpstr>centrestecnologics6_2023</vt:lpstr>
      <vt:lpstr>centrestecnologics7_2016</vt:lpstr>
      <vt:lpstr>centrestecnologics7_2017</vt:lpstr>
      <vt:lpstr>centrestecnologics7_2018</vt:lpstr>
      <vt:lpstr>centrestecnologics7_2019</vt:lpstr>
      <vt:lpstr>centrestecnologics7_2020</vt:lpstr>
      <vt:lpstr>centrestecnologics7_2021</vt:lpstr>
      <vt:lpstr>centrestecnologics7_2022</vt:lpstr>
      <vt:lpstr>centrestecnologics7_2023</vt:lpstr>
      <vt:lpstr>centrestecnologics8_2016</vt:lpstr>
      <vt:lpstr>centrestecnologics8_2017</vt:lpstr>
      <vt:lpstr>centrestecnologics8_2018</vt:lpstr>
      <vt:lpstr>centrestecnologics8_2019</vt:lpstr>
      <vt:lpstr>centrestecnologics8_2020</vt:lpstr>
      <vt:lpstr>centrestecnologics8_2021</vt:lpstr>
      <vt:lpstr>centrestecnologics8_2022</vt:lpstr>
      <vt:lpstr>centrestecnologics8_2023</vt:lpstr>
      <vt:lpstr>centrestecnologics9_2016</vt:lpstr>
      <vt:lpstr>centrestecnologics9_2017</vt:lpstr>
      <vt:lpstr>centrestecnologics9_2018</vt:lpstr>
      <vt:lpstr>centrestecnologics9_2019</vt:lpstr>
      <vt:lpstr>centrestecnologics9_2020</vt:lpstr>
      <vt:lpstr>centrestecnologics9_2021</vt:lpstr>
      <vt:lpstr>centrestecnologics9_2022</vt:lpstr>
      <vt:lpstr>centrestecnologics9_2023</vt:lpstr>
      <vt:lpstr>certificacio1_2016</vt:lpstr>
      <vt:lpstr>certificacio1_2017</vt:lpstr>
      <vt:lpstr>certificacio1_2018</vt:lpstr>
      <vt:lpstr>certificacio1_2019</vt:lpstr>
      <vt:lpstr>certificacio1_2020</vt:lpstr>
      <vt:lpstr>certificacio1_2021</vt:lpstr>
      <vt:lpstr>certificacio1_2022</vt:lpstr>
      <vt:lpstr>certificacio1_2023</vt:lpstr>
      <vt:lpstr>certificacio10_2016</vt:lpstr>
      <vt:lpstr>certificacio10_2017</vt:lpstr>
      <vt:lpstr>certificacio10_2018</vt:lpstr>
      <vt:lpstr>certificacio10_2019</vt:lpstr>
      <vt:lpstr>certificacio10_2020</vt:lpstr>
      <vt:lpstr>certificacio10_2021</vt:lpstr>
      <vt:lpstr>certificacio10_2022</vt:lpstr>
      <vt:lpstr>certificacio10_2023</vt:lpstr>
      <vt:lpstr>certificacio11_2016</vt:lpstr>
      <vt:lpstr>certificacio11_2017</vt:lpstr>
      <vt:lpstr>certificacio11_2018</vt:lpstr>
      <vt:lpstr>certificacio11_2019</vt:lpstr>
      <vt:lpstr>certificacio11_2020</vt:lpstr>
      <vt:lpstr>certificacio11_2021</vt:lpstr>
      <vt:lpstr>certificacio11_2022</vt:lpstr>
      <vt:lpstr>certificacio11_2023</vt:lpstr>
      <vt:lpstr>certificacio2_2016</vt:lpstr>
      <vt:lpstr>certificacio2_2017</vt:lpstr>
      <vt:lpstr>certificacio2_2018</vt:lpstr>
      <vt:lpstr>certificacio2_2019</vt:lpstr>
      <vt:lpstr>certificacio2_2020</vt:lpstr>
      <vt:lpstr>certificacio2_2021</vt:lpstr>
      <vt:lpstr>certificacio2_2022</vt:lpstr>
      <vt:lpstr>certificacio2_2023</vt:lpstr>
      <vt:lpstr>certificacio2016</vt:lpstr>
      <vt:lpstr>certificacio2017</vt:lpstr>
      <vt:lpstr>certificacio2018</vt:lpstr>
      <vt:lpstr>certificacio2019</vt:lpstr>
      <vt:lpstr>certificacio2020</vt:lpstr>
      <vt:lpstr>certificacio2021</vt:lpstr>
      <vt:lpstr>certificacio2022</vt:lpstr>
      <vt:lpstr>certificacio2023</vt:lpstr>
      <vt:lpstr>certificacio3_2016</vt:lpstr>
      <vt:lpstr>certificacio3_2017</vt:lpstr>
      <vt:lpstr>certificacio3_2018</vt:lpstr>
      <vt:lpstr>certificacio3_2019</vt:lpstr>
      <vt:lpstr>certificacio3_2020</vt:lpstr>
      <vt:lpstr>certificacio3_2021</vt:lpstr>
      <vt:lpstr>certificacio3_2022</vt:lpstr>
      <vt:lpstr>certificacio3_2023</vt:lpstr>
      <vt:lpstr>certificacio4_2016</vt:lpstr>
      <vt:lpstr>certificacio4_2017</vt:lpstr>
      <vt:lpstr>certificacio4_2018</vt:lpstr>
      <vt:lpstr>certificacio4_2019</vt:lpstr>
      <vt:lpstr>certificacio4_2020</vt:lpstr>
      <vt:lpstr>certificacio4_2021</vt:lpstr>
      <vt:lpstr>certificacio4_2022</vt:lpstr>
      <vt:lpstr>certificacio4_2023</vt:lpstr>
      <vt:lpstr>certificacio5_2016</vt:lpstr>
      <vt:lpstr>certificacio5_2017</vt:lpstr>
      <vt:lpstr>certificacio5_2018</vt:lpstr>
      <vt:lpstr>certificacio5_2019</vt:lpstr>
      <vt:lpstr>certificacio5_2020</vt:lpstr>
      <vt:lpstr>certificacio5_2021</vt:lpstr>
      <vt:lpstr>certificacio5_2022</vt:lpstr>
      <vt:lpstr>certificacio5_2023</vt:lpstr>
      <vt:lpstr>certificacio6_2016</vt:lpstr>
      <vt:lpstr>certificacio6_2017</vt:lpstr>
      <vt:lpstr>certificacio6_2018</vt:lpstr>
      <vt:lpstr>certificacio6_2019</vt:lpstr>
      <vt:lpstr>certificacio6_2020</vt:lpstr>
      <vt:lpstr>certificacio6_2021</vt:lpstr>
      <vt:lpstr>certificacio6_2022</vt:lpstr>
      <vt:lpstr>certificacio6_2023</vt:lpstr>
      <vt:lpstr>certificacio7_2016</vt:lpstr>
      <vt:lpstr>certificacio7_2017</vt:lpstr>
      <vt:lpstr>certificacio7_2018</vt:lpstr>
      <vt:lpstr>certificacio7_2019</vt:lpstr>
      <vt:lpstr>certificacio7_2020</vt:lpstr>
      <vt:lpstr>certificacio7_2021</vt:lpstr>
      <vt:lpstr>certificacio7_2022</vt:lpstr>
      <vt:lpstr>certificacio7_2023</vt:lpstr>
      <vt:lpstr>certificacio8_2016</vt:lpstr>
      <vt:lpstr>certificacio8_2017</vt:lpstr>
      <vt:lpstr>certificacio8_2018</vt:lpstr>
      <vt:lpstr>certificacio8_2019</vt:lpstr>
      <vt:lpstr>certificacio8_2020</vt:lpstr>
      <vt:lpstr>certificacio8_2021</vt:lpstr>
      <vt:lpstr>certificacio8_2022</vt:lpstr>
      <vt:lpstr>certificacio8_2023</vt:lpstr>
      <vt:lpstr>certificacio9_2016</vt:lpstr>
      <vt:lpstr>certificacio9_2017</vt:lpstr>
      <vt:lpstr>certificacio9_2018</vt:lpstr>
      <vt:lpstr>certificacio9_2019</vt:lpstr>
      <vt:lpstr>certificacio9_2020</vt:lpstr>
      <vt:lpstr>certificacio9_2021</vt:lpstr>
      <vt:lpstr>certificacio9_2022</vt:lpstr>
      <vt:lpstr>certificacio9_2023</vt:lpstr>
      <vt:lpstr>codiexp1</vt:lpstr>
      <vt:lpstr>codiparticipant00</vt:lpstr>
      <vt:lpstr>codiparticipant1</vt:lpstr>
      <vt:lpstr>codiparticipant10</vt:lpstr>
      <vt:lpstr>codiparticipant11</vt:lpstr>
      <vt:lpstr>codiparticipant2</vt:lpstr>
      <vt:lpstr>codiparticipant3</vt:lpstr>
      <vt:lpstr>codiparticipant4</vt:lpstr>
      <vt:lpstr>codiparticipant5</vt:lpstr>
      <vt:lpstr>codiparticipant6</vt:lpstr>
      <vt:lpstr>codiparticipant7</vt:lpstr>
      <vt:lpstr>codiparticipant8</vt:lpstr>
      <vt:lpstr>codiparticipant9</vt:lpstr>
      <vt:lpstr>copera1_2016</vt:lpstr>
      <vt:lpstr>copera1_2017</vt:lpstr>
      <vt:lpstr>copera1_2018</vt:lpstr>
      <vt:lpstr>copera1_2019</vt:lpstr>
      <vt:lpstr>copera1_2020</vt:lpstr>
      <vt:lpstr>copera1_2021</vt:lpstr>
      <vt:lpstr>copera1_2022</vt:lpstr>
      <vt:lpstr>copera1_2023</vt:lpstr>
      <vt:lpstr>copera10_2016</vt:lpstr>
      <vt:lpstr>copera10_2017</vt:lpstr>
      <vt:lpstr>copera10_2018</vt:lpstr>
      <vt:lpstr>copera10_2019</vt:lpstr>
      <vt:lpstr>copera10_2020</vt:lpstr>
      <vt:lpstr>copera10_2021</vt:lpstr>
      <vt:lpstr>copera10_2022</vt:lpstr>
      <vt:lpstr>copera10_2023</vt:lpstr>
      <vt:lpstr>copera11_2016</vt:lpstr>
      <vt:lpstr>copera11_2017</vt:lpstr>
      <vt:lpstr>copera11_2018</vt:lpstr>
      <vt:lpstr>copera11_2019</vt:lpstr>
      <vt:lpstr>copera11_2020</vt:lpstr>
      <vt:lpstr>copera11_2021</vt:lpstr>
      <vt:lpstr>copera11_2022</vt:lpstr>
      <vt:lpstr>copera11_2023</vt:lpstr>
      <vt:lpstr>copera2_2016</vt:lpstr>
      <vt:lpstr>copera2_2017</vt:lpstr>
      <vt:lpstr>copera2_2018</vt:lpstr>
      <vt:lpstr>copera2_2019</vt:lpstr>
      <vt:lpstr>copera2_2020</vt:lpstr>
      <vt:lpstr>copera2_2021</vt:lpstr>
      <vt:lpstr>copera2_2022</vt:lpstr>
      <vt:lpstr>copera2_2023</vt:lpstr>
      <vt:lpstr>copera2016</vt:lpstr>
      <vt:lpstr>copera2017</vt:lpstr>
      <vt:lpstr>copera2018</vt:lpstr>
      <vt:lpstr>copera2019</vt:lpstr>
      <vt:lpstr>copera2020</vt:lpstr>
      <vt:lpstr>copera2021</vt:lpstr>
      <vt:lpstr>copera2022</vt:lpstr>
      <vt:lpstr>copera2023</vt:lpstr>
      <vt:lpstr>copera3_2016</vt:lpstr>
      <vt:lpstr>copera3_2017</vt:lpstr>
      <vt:lpstr>copera3_2018</vt:lpstr>
      <vt:lpstr>copera3_2019</vt:lpstr>
      <vt:lpstr>copera3_2020</vt:lpstr>
      <vt:lpstr>copera3_2021</vt:lpstr>
      <vt:lpstr>copera3_2022</vt:lpstr>
      <vt:lpstr>copera3_2023</vt:lpstr>
      <vt:lpstr>copera4_2016</vt:lpstr>
      <vt:lpstr>copera4_2017</vt:lpstr>
      <vt:lpstr>copera4_2018</vt:lpstr>
      <vt:lpstr>copera4_2019</vt:lpstr>
      <vt:lpstr>copera4_2020</vt:lpstr>
      <vt:lpstr>copera4_2021</vt:lpstr>
      <vt:lpstr>copera4_2022</vt:lpstr>
      <vt:lpstr>copera4_2023</vt:lpstr>
      <vt:lpstr>copera5_2016</vt:lpstr>
      <vt:lpstr>copera5_2017</vt:lpstr>
      <vt:lpstr>copera5_2018</vt:lpstr>
      <vt:lpstr>copera5_2019</vt:lpstr>
      <vt:lpstr>copera5_2020</vt:lpstr>
      <vt:lpstr>copera5_2021</vt:lpstr>
      <vt:lpstr>copera5_2022</vt:lpstr>
      <vt:lpstr>copera5_2023</vt:lpstr>
      <vt:lpstr>copera6_2016</vt:lpstr>
      <vt:lpstr>copera6_2017</vt:lpstr>
      <vt:lpstr>copera6_2018</vt:lpstr>
      <vt:lpstr>copera6_2019</vt:lpstr>
      <vt:lpstr>copera6_2020</vt:lpstr>
      <vt:lpstr>copera6_2021</vt:lpstr>
      <vt:lpstr>copera6_2022</vt:lpstr>
      <vt:lpstr>copera6_2023</vt:lpstr>
      <vt:lpstr>copera7_2016</vt:lpstr>
      <vt:lpstr>copera7_2017</vt:lpstr>
      <vt:lpstr>copera7_2018</vt:lpstr>
      <vt:lpstr>copera7_2019</vt:lpstr>
      <vt:lpstr>copera7_2020</vt:lpstr>
      <vt:lpstr>copera7_2021</vt:lpstr>
      <vt:lpstr>copera7_2022</vt:lpstr>
      <vt:lpstr>copera7_2023</vt:lpstr>
      <vt:lpstr>copera8_2016</vt:lpstr>
      <vt:lpstr>copera8_2017</vt:lpstr>
      <vt:lpstr>copera8_2018</vt:lpstr>
      <vt:lpstr>copera8_2019</vt:lpstr>
      <vt:lpstr>copera8_2020</vt:lpstr>
      <vt:lpstr>copera8_2021</vt:lpstr>
      <vt:lpstr>copera8_2022</vt:lpstr>
      <vt:lpstr>copera8_2023</vt:lpstr>
      <vt:lpstr>copera9_2016</vt:lpstr>
      <vt:lpstr>copera9_2017</vt:lpstr>
      <vt:lpstr>copera9_2018</vt:lpstr>
      <vt:lpstr>copera9_2019</vt:lpstr>
      <vt:lpstr>copera9_2020</vt:lpstr>
      <vt:lpstr>copera9_2021</vt:lpstr>
      <vt:lpstr>copera9_2022</vt:lpstr>
      <vt:lpstr>copera9_2023</vt:lpstr>
      <vt:lpstr>emissions1_2016</vt:lpstr>
      <vt:lpstr>emissions1_2017</vt:lpstr>
      <vt:lpstr>emissions1_2018</vt:lpstr>
      <vt:lpstr>emissions1_2019</vt:lpstr>
      <vt:lpstr>emissions1_2020</vt:lpstr>
      <vt:lpstr>emissions1_2021</vt:lpstr>
      <vt:lpstr>emissions1_2022</vt:lpstr>
      <vt:lpstr>emissions1_2023</vt:lpstr>
      <vt:lpstr>emissions10_2016</vt:lpstr>
      <vt:lpstr>emissions10_2017</vt:lpstr>
      <vt:lpstr>emissions10_2018</vt:lpstr>
      <vt:lpstr>emissions10_2019</vt:lpstr>
      <vt:lpstr>emissions10_2020</vt:lpstr>
      <vt:lpstr>emissions10_2021</vt:lpstr>
      <vt:lpstr>emissions10_2022</vt:lpstr>
      <vt:lpstr>emissions10_2023</vt:lpstr>
      <vt:lpstr>emissions11_2016</vt:lpstr>
      <vt:lpstr>emissions11_2017</vt:lpstr>
      <vt:lpstr>emissions11_2018</vt:lpstr>
      <vt:lpstr>emissions11_2019</vt:lpstr>
      <vt:lpstr>emissions11_2020</vt:lpstr>
      <vt:lpstr>emissions11_2021</vt:lpstr>
      <vt:lpstr>emissions11_2022</vt:lpstr>
      <vt:lpstr>emissions11_2023</vt:lpstr>
      <vt:lpstr>emissions2_2016</vt:lpstr>
      <vt:lpstr>emissions2_2017</vt:lpstr>
      <vt:lpstr>emissions2_2018</vt:lpstr>
      <vt:lpstr>emissions2_2019</vt:lpstr>
      <vt:lpstr>emissions2_2020</vt:lpstr>
      <vt:lpstr>emissions2_2021</vt:lpstr>
      <vt:lpstr>emissions2_2022</vt:lpstr>
      <vt:lpstr>emissions2_2023</vt:lpstr>
      <vt:lpstr>emissions2016</vt:lpstr>
      <vt:lpstr>emissions2017</vt:lpstr>
      <vt:lpstr>emissions2018</vt:lpstr>
      <vt:lpstr>emissions2019</vt:lpstr>
      <vt:lpstr>emissions2020</vt:lpstr>
      <vt:lpstr>emissions2021</vt:lpstr>
      <vt:lpstr>emissions2022</vt:lpstr>
      <vt:lpstr>emissions2023</vt:lpstr>
      <vt:lpstr>emissions3_2016</vt:lpstr>
      <vt:lpstr>emissions3_2017</vt:lpstr>
      <vt:lpstr>emissions3_2018</vt:lpstr>
      <vt:lpstr>emissions3_2019</vt:lpstr>
      <vt:lpstr>emissions3_2020</vt:lpstr>
      <vt:lpstr>emissions3_2021</vt:lpstr>
      <vt:lpstr>emissions3_2022</vt:lpstr>
      <vt:lpstr>emissions3_2023</vt:lpstr>
      <vt:lpstr>emissions4_2016</vt:lpstr>
      <vt:lpstr>emissions4_2017</vt:lpstr>
      <vt:lpstr>emissions4_2018</vt:lpstr>
      <vt:lpstr>emissions4_2019</vt:lpstr>
      <vt:lpstr>emissions4_2020</vt:lpstr>
      <vt:lpstr>emissions4_2021</vt:lpstr>
      <vt:lpstr>emissions4_2022</vt:lpstr>
      <vt:lpstr>emissions4_2023</vt:lpstr>
      <vt:lpstr>emissions5_2016</vt:lpstr>
      <vt:lpstr>emissions5_2017</vt:lpstr>
      <vt:lpstr>emissions5_2018</vt:lpstr>
      <vt:lpstr>emissions5_2019</vt:lpstr>
      <vt:lpstr>emissions5_2020</vt:lpstr>
      <vt:lpstr>emissions5_2021</vt:lpstr>
      <vt:lpstr>emissions5_2022</vt:lpstr>
      <vt:lpstr>emissions5_2023</vt:lpstr>
      <vt:lpstr>emissions6_2016</vt:lpstr>
      <vt:lpstr>emissions6_2017</vt:lpstr>
      <vt:lpstr>emissions6_2018</vt:lpstr>
      <vt:lpstr>emissions6_2019</vt:lpstr>
      <vt:lpstr>emissions6_2020</vt:lpstr>
      <vt:lpstr>emissions6_2021</vt:lpstr>
      <vt:lpstr>emissions6_2022</vt:lpstr>
      <vt:lpstr>emissions6_2023</vt:lpstr>
      <vt:lpstr>emissions7_2016</vt:lpstr>
      <vt:lpstr>emissions7_2017</vt:lpstr>
      <vt:lpstr>emissions7_2018</vt:lpstr>
      <vt:lpstr>emissions7_2019</vt:lpstr>
      <vt:lpstr>emissions7_2020</vt:lpstr>
      <vt:lpstr>emissions7_2021</vt:lpstr>
      <vt:lpstr>emissions7_2022</vt:lpstr>
      <vt:lpstr>emissions7_2023</vt:lpstr>
      <vt:lpstr>emissions8_2016</vt:lpstr>
      <vt:lpstr>emissions8_2017</vt:lpstr>
      <vt:lpstr>emissions8_2018</vt:lpstr>
      <vt:lpstr>emissions8_2019</vt:lpstr>
      <vt:lpstr>emissions8_2020</vt:lpstr>
      <vt:lpstr>emissions8_2021</vt:lpstr>
      <vt:lpstr>emissions8_2022</vt:lpstr>
      <vt:lpstr>emissions8_2023</vt:lpstr>
      <vt:lpstr>emissions9_2016</vt:lpstr>
      <vt:lpstr>emissions9_2017</vt:lpstr>
      <vt:lpstr>emissions9_2018</vt:lpstr>
      <vt:lpstr>emissions9_2019</vt:lpstr>
      <vt:lpstr>emissions9_2020</vt:lpstr>
      <vt:lpstr>emissions9_2021</vt:lpstr>
      <vt:lpstr>emissions9_2022</vt:lpstr>
      <vt:lpstr>emissions9_2023</vt:lpstr>
      <vt:lpstr>empresesprivades1_2016</vt:lpstr>
      <vt:lpstr>empresesprivades1_2017</vt:lpstr>
      <vt:lpstr>empresesprivades1_2018</vt:lpstr>
      <vt:lpstr>empresesprivades1_2019</vt:lpstr>
      <vt:lpstr>empresesprivades1_2020</vt:lpstr>
      <vt:lpstr>empresesprivades1_2021</vt:lpstr>
      <vt:lpstr>empresesprivades1_2022</vt:lpstr>
      <vt:lpstr>empresesprivades1_2023</vt:lpstr>
      <vt:lpstr>empresesprivades10_2016</vt:lpstr>
      <vt:lpstr>empresesprivades10_2017</vt:lpstr>
      <vt:lpstr>empresesprivades10_2018</vt:lpstr>
      <vt:lpstr>empresesprivades10_2019</vt:lpstr>
      <vt:lpstr>empresesprivades10_2020</vt:lpstr>
      <vt:lpstr>empresesprivades10_2021</vt:lpstr>
      <vt:lpstr>empresesprivades10_2022</vt:lpstr>
      <vt:lpstr>empresesprivades10_2023</vt:lpstr>
      <vt:lpstr>empresesprivades11_2016</vt:lpstr>
      <vt:lpstr>empresesprivades11_2017</vt:lpstr>
      <vt:lpstr>empresesprivades11_2018</vt:lpstr>
      <vt:lpstr>empresesprivades11_2019</vt:lpstr>
      <vt:lpstr>empresesprivades11_2020</vt:lpstr>
      <vt:lpstr>empresesprivades11_2021</vt:lpstr>
      <vt:lpstr>empresesprivades11_2022</vt:lpstr>
      <vt:lpstr>empresesprivades11_2023</vt:lpstr>
      <vt:lpstr>empresesprivades2_2016</vt:lpstr>
      <vt:lpstr>empresesprivades2_2017</vt:lpstr>
      <vt:lpstr>empresesprivades2_2018</vt:lpstr>
      <vt:lpstr>empresesprivades2_2019</vt:lpstr>
      <vt:lpstr>empresesprivades2_2020</vt:lpstr>
      <vt:lpstr>empresesprivades2_2021</vt:lpstr>
      <vt:lpstr>empresesprivades2_2022</vt:lpstr>
      <vt:lpstr>empresesprivades2_2023</vt:lpstr>
      <vt:lpstr>empresesprivades2016</vt:lpstr>
      <vt:lpstr>empresesprivades2017</vt:lpstr>
      <vt:lpstr>empresesprivades2018</vt:lpstr>
      <vt:lpstr>empresesprivades2019</vt:lpstr>
      <vt:lpstr>empresesprivades2020</vt:lpstr>
      <vt:lpstr>empresesprivades2021</vt:lpstr>
      <vt:lpstr>empresesprivades2022</vt:lpstr>
      <vt:lpstr>empresesprivades2023</vt:lpstr>
      <vt:lpstr>empresesprivades3_2016</vt:lpstr>
      <vt:lpstr>empresesprivades3_2017</vt:lpstr>
      <vt:lpstr>empresesprivades3_2018</vt:lpstr>
      <vt:lpstr>empresesprivades3_2019</vt:lpstr>
      <vt:lpstr>empresesprivades3_2020</vt:lpstr>
      <vt:lpstr>empresesprivades3_2021</vt:lpstr>
      <vt:lpstr>empresesprivades3_2022</vt:lpstr>
      <vt:lpstr>empresesprivades3_2023</vt:lpstr>
      <vt:lpstr>empresesprivades4_2016</vt:lpstr>
      <vt:lpstr>empresesprivades4_2017</vt:lpstr>
      <vt:lpstr>empresesprivades4_2018</vt:lpstr>
      <vt:lpstr>empresesprivades4_2019</vt:lpstr>
      <vt:lpstr>empresesprivades4_2020</vt:lpstr>
      <vt:lpstr>empresesprivades4_2021</vt:lpstr>
      <vt:lpstr>empresesprivades4_2022</vt:lpstr>
      <vt:lpstr>empresesprivades4_2023</vt:lpstr>
      <vt:lpstr>empresesprivades5_2016</vt:lpstr>
      <vt:lpstr>empresesprivades5_2017</vt:lpstr>
      <vt:lpstr>empresesprivades5_2018</vt:lpstr>
      <vt:lpstr>empresesprivades5_2019</vt:lpstr>
      <vt:lpstr>empresesprivades5_2020</vt:lpstr>
      <vt:lpstr>empresesprivades5_2021</vt:lpstr>
      <vt:lpstr>empresesprivades5_2022</vt:lpstr>
      <vt:lpstr>empresesprivades5_2023</vt:lpstr>
      <vt:lpstr>empresesprivades6_2016</vt:lpstr>
      <vt:lpstr>empresesprivades6_2017</vt:lpstr>
      <vt:lpstr>empresesprivades6_2018</vt:lpstr>
      <vt:lpstr>empresesprivades6_2019</vt:lpstr>
      <vt:lpstr>empresesprivades6_2020</vt:lpstr>
      <vt:lpstr>empresesprivades6_2021</vt:lpstr>
      <vt:lpstr>empresesprivades6_2022</vt:lpstr>
      <vt:lpstr>empresesprivades6_2023</vt:lpstr>
      <vt:lpstr>empresesprivades7_2016</vt:lpstr>
      <vt:lpstr>empresesprivades7_2017</vt:lpstr>
      <vt:lpstr>empresesprivades7_2018</vt:lpstr>
      <vt:lpstr>empresesprivades7_2019</vt:lpstr>
      <vt:lpstr>empresesprivades7_2020</vt:lpstr>
      <vt:lpstr>empresesprivades7_2021</vt:lpstr>
      <vt:lpstr>empresesprivades7_2022</vt:lpstr>
      <vt:lpstr>empresesprivades7_2023</vt:lpstr>
      <vt:lpstr>empresesprivades8_2016</vt:lpstr>
      <vt:lpstr>empresesprivades8_2017</vt:lpstr>
      <vt:lpstr>empresesprivades8_2018</vt:lpstr>
      <vt:lpstr>empresesprivades8_2019</vt:lpstr>
      <vt:lpstr>empresesprivades8_2020</vt:lpstr>
      <vt:lpstr>empresesprivades8_2021</vt:lpstr>
      <vt:lpstr>empresesprivades8_2022</vt:lpstr>
      <vt:lpstr>empresesprivades8_2023</vt:lpstr>
      <vt:lpstr>empresesprivades9_2016</vt:lpstr>
      <vt:lpstr>empresesprivades9_2017</vt:lpstr>
      <vt:lpstr>empresesprivades9_2018</vt:lpstr>
      <vt:lpstr>empresesprivades9_2019</vt:lpstr>
      <vt:lpstr>empresesprivades9_2020</vt:lpstr>
      <vt:lpstr>empresesprivades9_2021</vt:lpstr>
      <vt:lpstr>empresesprivades9_2022</vt:lpstr>
      <vt:lpstr>empresesprivades9_2023</vt:lpstr>
      <vt:lpstr>empresespubliques1_2016</vt:lpstr>
      <vt:lpstr>empresespubliques1_2017</vt:lpstr>
      <vt:lpstr>empresespubliques1_2018</vt:lpstr>
      <vt:lpstr>empresespubliques1_2019</vt:lpstr>
      <vt:lpstr>empresespubliques1_2020</vt:lpstr>
      <vt:lpstr>empresespubliques1_2021</vt:lpstr>
      <vt:lpstr>empresespubliques1_2022</vt:lpstr>
      <vt:lpstr>empresespubliques1_2023</vt:lpstr>
      <vt:lpstr>empresespubliques10_2016</vt:lpstr>
      <vt:lpstr>empresespubliques10_2017</vt:lpstr>
      <vt:lpstr>empresespubliques10_2018</vt:lpstr>
      <vt:lpstr>empresespubliques10_2019</vt:lpstr>
      <vt:lpstr>empresespubliques10_2020</vt:lpstr>
      <vt:lpstr>empresespubliques10_2021</vt:lpstr>
      <vt:lpstr>empresespubliques10_2022</vt:lpstr>
      <vt:lpstr>empresespubliques10_2023</vt:lpstr>
      <vt:lpstr>empresespubliques11_2016</vt:lpstr>
      <vt:lpstr>empresespubliques11_2017</vt:lpstr>
      <vt:lpstr>empresespubliques11_2018</vt:lpstr>
      <vt:lpstr>empresespubliques11_2019</vt:lpstr>
      <vt:lpstr>empresespubliques11_2020</vt:lpstr>
      <vt:lpstr>empresespubliques11_2021</vt:lpstr>
      <vt:lpstr>empresespubliques11_2022</vt:lpstr>
      <vt:lpstr>empresespubliques11_2023</vt:lpstr>
      <vt:lpstr>empresespubliques2_2016</vt:lpstr>
      <vt:lpstr>empresespubliques2_2017</vt:lpstr>
      <vt:lpstr>empresespubliques2_2018</vt:lpstr>
      <vt:lpstr>empresespubliques2_2019</vt:lpstr>
      <vt:lpstr>empresespubliques2_2020</vt:lpstr>
      <vt:lpstr>empresespubliques2_2021</vt:lpstr>
      <vt:lpstr>empresespubliques2_2022</vt:lpstr>
      <vt:lpstr>empresespubliques2_2023</vt:lpstr>
      <vt:lpstr>empresespubliques2016</vt:lpstr>
      <vt:lpstr>empresespubliques2017</vt:lpstr>
      <vt:lpstr>empresespubliques2018</vt:lpstr>
      <vt:lpstr>empresespubliques2019</vt:lpstr>
      <vt:lpstr>empresespubliques2020</vt:lpstr>
      <vt:lpstr>empresespubliques2021</vt:lpstr>
      <vt:lpstr>empresespubliques2022</vt:lpstr>
      <vt:lpstr>empresespubliques2023</vt:lpstr>
      <vt:lpstr>empresespubliques3_2016</vt:lpstr>
      <vt:lpstr>empresespubliques3_2017</vt:lpstr>
      <vt:lpstr>empresespubliques3_2018</vt:lpstr>
      <vt:lpstr>empresespubliques3_2019</vt:lpstr>
      <vt:lpstr>empresespubliques3_2020</vt:lpstr>
      <vt:lpstr>empresespubliques3_2021</vt:lpstr>
      <vt:lpstr>empresespubliques3_2022</vt:lpstr>
      <vt:lpstr>empresespubliques3_2023</vt:lpstr>
      <vt:lpstr>empresespubliques4_2016</vt:lpstr>
      <vt:lpstr>empresespubliques4_2017</vt:lpstr>
      <vt:lpstr>empresespubliques4_2018</vt:lpstr>
      <vt:lpstr>empresespubliques4_2019</vt:lpstr>
      <vt:lpstr>empresespubliques4_2020</vt:lpstr>
      <vt:lpstr>empresespubliques4_2021</vt:lpstr>
      <vt:lpstr>empresespubliques4_2022</vt:lpstr>
      <vt:lpstr>empresespubliques4_2023</vt:lpstr>
      <vt:lpstr>empresespubliques5_2016</vt:lpstr>
      <vt:lpstr>empresespubliques5_2017</vt:lpstr>
      <vt:lpstr>empresespubliques5_2018</vt:lpstr>
      <vt:lpstr>empresespubliques5_2019</vt:lpstr>
      <vt:lpstr>empresespubliques5_2020</vt:lpstr>
      <vt:lpstr>empresespubliques5_2021</vt:lpstr>
      <vt:lpstr>empresespubliques5_2022</vt:lpstr>
      <vt:lpstr>empresespubliques5_2023</vt:lpstr>
      <vt:lpstr>empresespubliques6_2016</vt:lpstr>
      <vt:lpstr>empresespubliques6_2017</vt:lpstr>
      <vt:lpstr>empresespubliques6_2018</vt:lpstr>
      <vt:lpstr>empresespubliques6_2019</vt:lpstr>
      <vt:lpstr>empresespubliques6_2020</vt:lpstr>
      <vt:lpstr>empresespubliques6_2021</vt:lpstr>
      <vt:lpstr>empresespubliques6_2022</vt:lpstr>
      <vt:lpstr>empresespubliques6_2023</vt:lpstr>
      <vt:lpstr>empresespubliques7_2016</vt:lpstr>
      <vt:lpstr>empresespubliques7_2017</vt:lpstr>
      <vt:lpstr>empresespubliques7_2018</vt:lpstr>
      <vt:lpstr>empresespubliques7_2019</vt:lpstr>
      <vt:lpstr>empresespubliques7_2020</vt:lpstr>
      <vt:lpstr>empresespubliques7_2021</vt:lpstr>
      <vt:lpstr>empresespubliques7_2022</vt:lpstr>
      <vt:lpstr>empresespubliques7_2023</vt:lpstr>
      <vt:lpstr>empresespubliques8_2016</vt:lpstr>
      <vt:lpstr>empresespubliques8_2017</vt:lpstr>
      <vt:lpstr>empresespubliques8_2018</vt:lpstr>
      <vt:lpstr>empresespubliques8_2019</vt:lpstr>
      <vt:lpstr>empresespubliques8_2020</vt:lpstr>
      <vt:lpstr>empresespubliques8_2021</vt:lpstr>
      <vt:lpstr>empresespubliques8_2022</vt:lpstr>
      <vt:lpstr>empresespubliques8_2023</vt:lpstr>
      <vt:lpstr>empresespubliques9_2016</vt:lpstr>
      <vt:lpstr>empresespubliques9_2017</vt:lpstr>
      <vt:lpstr>empresespubliques9_2018</vt:lpstr>
      <vt:lpstr>empresespubliques9_2019</vt:lpstr>
      <vt:lpstr>empresespubliques9_2020</vt:lpstr>
      <vt:lpstr>empresespubliques9_2021</vt:lpstr>
      <vt:lpstr>empresespubliques9_2022</vt:lpstr>
      <vt:lpstr>empresespubliques9_2023</vt:lpstr>
      <vt:lpstr>energia1_2016</vt:lpstr>
      <vt:lpstr>energia1_2017</vt:lpstr>
      <vt:lpstr>energia1_2018</vt:lpstr>
      <vt:lpstr>energia1_2019</vt:lpstr>
      <vt:lpstr>energia1_2020</vt:lpstr>
      <vt:lpstr>energia1_2021</vt:lpstr>
      <vt:lpstr>energia1_2022</vt:lpstr>
      <vt:lpstr>energia1_2023</vt:lpstr>
      <vt:lpstr>energia10_2016</vt:lpstr>
      <vt:lpstr>energia10_2017</vt:lpstr>
      <vt:lpstr>energia10_2018</vt:lpstr>
      <vt:lpstr>energia10_2019</vt:lpstr>
      <vt:lpstr>energia10_2020</vt:lpstr>
      <vt:lpstr>energia10_2021</vt:lpstr>
      <vt:lpstr>energia10_2022</vt:lpstr>
      <vt:lpstr>energia10_2023</vt:lpstr>
      <vt:lpstr>energia11_2016</vt:lpstr>
      <vt:lpstr>energia11_2017</vt:lpstr>
      <vt:lpstr>energia11_2018</vt:lpstr>
      <vt:lpstr>energia11_2019</vt:lpstr>
      <vt:lpstr>energia11_2020</vt:lpstr>
      <vt:lpstr>energia11_2021</vt:lpstr>
      <vt:lpstr>energia11_2022</vt:lpstr>
      <vt:lpstr>energia11_2023</vt:lpstr>
      <vt:lpstr>energia2_2016</vt:lpstr>
      <vt:lpstr>energia2_2017</vt:lpstr>
      <vt:lpstr>energia2_2018</vt:lpstr>
      <vt:lpstr>energia2_2019</vt:lpstr>
      <vt:lpstr>energia2_2020</vt:lpstr>
      <vt:lpstr>energia2_2021</vt:lpstr>
      <vt:lpstr>energia2_2022</vt:lpstr>
      <vt:lpstr>energia2_2023</vt:lpstr>
      <vt:lpstr>energia2016</vt:lpstr>
      <vt:lpstr>energia2017</vt:lpstr>
      <vt:lpstr>energia2018</vt:lpstr>
      <vt:lpstr>energia2019</vt:lpstr>
      <vt:lpstr>energia2020</vt:lpstr>
      <vt:lpstr>energia2021</vt:lpstr>
      <vt:lpstr>energia2022</vt:lpstr>
      <vt:lpstr>energia2023</vt:lpstr>
      <vt:lpstr>energia3_2016</vt:lpstr>
      <vt:lpstr>energia3_2017</vt:lpstr>
      <vt:lpstr>energia3_2018</vt:lpstr>
      <vt:lpstr>energia3_2019</vt:lpstr>
      <vt:lpstr>energia3_2020</vt:lpstr>
      <vt:lpstr>energia3_2021</vt:lpstr>
      <vt:lpstr>energia3_2022</vt:lpstr>
      <vt:lpstr>energia3_2023</vt:lpstr>
      <vt:lpstr>energia4_2016</vt:lpstr>
      <vt:lpstr>energia4_2017</vt:lpstr>
      <vt:lpstr>energia4_2018</vt:lpstr>
      <vt:lpstr>energia4_2019</vt:lpstr>
      <vt:lpstr>energia4_2020</vt:lpstr>
      <vt:lpstr>energia4_2021</vt:lpstr>
      <vt:lpstr>energia4_2022</vt:lpstr>
      <vt:lpstr>energia4_2023</vt:lpstr>
      <vt:lpstr>energia5_2016</vt:lpstr>
      <vt:lpstr>energia5_2017</vt:lpstr>
      <vt:lpstr>energia5_2018</vt:lpstr>
      <vt:lpstr>energia5_2019</vt:lpstr>
      <vt:lpstr>energia5_2020</vt:lpstr>
      <vt:lpstr>energia5_2021</vt:lpstr>
      <vt:lpstr>energia5_2022</vt:lpstr>
      <vt:lpstr>energia5_2023</vt:lpstr>
      <vt:lpstr>energia6_2016</vt:lpstr>
      <vt:lpstr>energia6_2017</vt:lpstr>
      <vt:lpstr>energia6_2018</vt:lpstr>
      <vt:lpstr>energia6_2019</vt:lpstr>
      <vt:lpstr>energia6_2020</vt:lpstr>
      <vt:lpstr>energia6_2021</vt:lpstr>
      <vt:lpstr>energia6_2022</vt:lpstr>
      <vt:lpstr>energia6_2023</vt:lpstr>
      <vt:lpstr>energia7_2016</vt:lpstr>
      <vt:lpstr>energia7_2017</vt:lpstr>
      <vt:lpstr>energia7_2018</vt:lpstr>
      <vt:lpstr>energia7_2019</vt:lpstr>
      <vt:lpstr>energia7_2020</vt:lpstr>
      <vt:lpstr>energia7_2021</vt:lpstr>
      <vt:lpstr>energia7_2022</vt:lpstr>
      <vt:lpstr>energia7_2023</vt:lpstr>
      <vt:lpstr>energia8_2016</vt:lpstr>
      <vt:lpstr>energia8_2017</vt:lpstr>
      <vt:lpstr>energia8_2018</vt:lpstr>
      <vt:lpstr>energia8_2019</vt:lpstr>
      <vt:lpstr>energia8_2020</vt:lpstr>
      <vt:lpstr>energia8_2021</vt:lpstr>
      <vt:lpstr>energia8_2022</vt:lpstr>
      <vt:lpstr>energia8_2023</vt:lpstr>
      <vt:lpstr>energia9_2016</vt:lpstr>
      <vt:lpstr>energia9_2017</vt:lpstr>
      <vt:lpstr>energia9_2018</vt:lpstr>
      <vt:lpstr>energia9_2019</vt:lpstr>
      <vt:lpstr>energia9_2020</vt:lpstr>
      <vt:lpstr>energia9_2021</vt:lpstr>
      <vt:lpstr>energia9_2022</vt:lpstr>
      <vt:lpstr>energia9_2023</vt:lpstr>
      <vt:lpstr>exportacions1_2016</vt:lpstr>
      <vt:lpstr>exportacions1_2017</vt:lpstr>
      <vt:lpstr>exportacions1_2018</vt:lpstr>
      <vt:lpstr>exportacions1_2019</vt:lpstr>
      <vt:lpstr>exportacions1_2020</vt:lpstr>
      <vt:lpstr>exportacions1_2021</vt:lpstr>
      <vt:lpstr>exportacions1_2022</vt:lpstr>
      <vt:lpstr>exportacions1_2023</vt:lpstr>
      <vt:lpstr>exportacions10_2016</vt:lpstr>
      <vt:lpstr>exportacions10_2017</vt:lpstr>
      <vt:lpstr>exportacions10_2018</vt:lpstr>
      <vt:lpstr>exportacions10_2019</vt:lpstr>
      <vt:lpstr>exportacions10_2020</vt:lpstr>
      <vt:lpstr>exportacions10_2021</vt:lpstr>
      <vt:lpstr>exportacions10_2022</vt:lpstr>
      <vt:lpstr>exportacions10_2023</vt:lpstr>
      <vt:lpstr>exportacions11_2016</vt:lpstr>
      <vt:lpstr>exportacions11_2017</vt:lpstr>
      <vt:lpstr>exportacions11_2018</vt:lpstr>
      <vt:lpstr>exportacions11_2019</vt:lpstr>
      <vt:lpstr>exportacions11_2020</vt:lpstr>
      <vt:lpstr>exportacions11_2021</vt:lpstr>
      <vt:lpstr>exportacions11_2022</vt:lpstr>
      <vt:lpstr>exportacions11_2023</vt:lpstr>
      <vt:lpstr>exportacions2_2016</vt:lpstr>
      <vt:lpstr>exportacions2_2017</vt:lpstr>
      <vt:lpstr>exportacions2_2018</vt:lpstr>
      <vt:lpstr>exportacions2_2019</vt:lpstr>
      <vt:lpstr>exportacions2_2020</vt:lpstr>
      <vt:lpstr>exportacions2_2021</vt:lpstr>
      <vt:lpstr>exportacions2_2022</vt:lpstr>
      <vt:lpstr>exportacions2_2023</vt:lpstr>
      <vt:lpstr>exportacions2016</vt:lpstr>
      <vt:lpstr>exportacions2017</vt:lpstr>
      <vt:lpstr>exportacions2018</vt:lpstr>
      <vt:lpstr>exportacions2019</vt:lpstr>
      <vt:lpstr>exportacions2020</vt:lpstr>
      <vt:lpstr>exportacions2021</vt:lpstr>
      <vt:lpstr>exportacions2022</vt:lpstr>
      <vt:lpstr>exportacions2023</vt:lpstr>
      <vt:lpstr>exportacions3_2016</vt:lpstr>
      <vt:lpstr>exportacions3_2017</vt:lpstr>
      <vt:lpstr>exportacions3_2018</vt:lpstr>
      <vt:lpstr>exportacions3_2019</vt:lpstr>
      <vt:lpstr>exportacions3_2020</vt:lpstr>
      <vt:lpstr>exportacions3_2021</vt:lpstr>
      <vt:lpstr>exportacions3_2022</vt:lpstr>
      <vt:lpstr>exportacions3_2023</vt:lpstr>
      <vt:lpstr>exportacions4_2016</vt:lpstr>
      <vt:lpstr>exportacions4_2017</vt:lpstr>
      <vt:lpstr>exportacions4_2018</vt:lpstr>
      <vt:lpstr>exportacions4_2019</vt:lpstr>
      <vt:lpstr>exportacions4_2020</vt:lpstr>
      <vt:lpstr>exportacions4_2021</vt:lpstr>
      <vt:lpstr>exportacions4_2022</vt:lpstr>
      <vt:lpstr>exportacions4_2023</vt:lpstr>
      <vt:lpstr>exportacions5_2016</vt:lpstr>
      <vt:lpstr>exportacions5_2017</vt:lpstr>
      <vt:lpstr>exportacions5_2018</vt:lpstr>
      <vt:lpstr>exportacions5_2019</vt:lpstr>
      <vt:lpstr>exportacions5_2020</vt:lpstr>
      <vt:lpstr>exportacions5_2021</vt:lpstr>
      <vt:lpstr>exportacions5_2022</vt:lpstr>
      <vt:lpstr>exportacions5_2023</vt:lpstr>
      <vt:lpstr>exportacions6_2016</vt:lpstr>
      <vt:lpstr>exportacions6_2017</vt:lpstr>
      <vt:lpstr>exportacions6_2018</vt:lpstr>
      <vt:lpstr>exportacions6_2019</vt:lpstr>
      <vt:lpstr>exportacions6_2020</vt:lpstr>
      <vt:lpstr>exportacions6_2021</vt:lpstr>
      <vt:lpstr>exportacions6_2022</vt:lpstr>
      <vt:lpstr>exportacions6_2023</vt:lpstr>
      <vt:lpstr>exportacions7_2016</vt:lpstr>
      <vt:lpstr>exportacions7_2017</vt:lpstr>
      <vt:lpstr>exportacions7_2018</vt:lpstr>
      <vt:lpstr>exportacions7_2019</vt:lpstr>
      <vt:lpstr>exportacions7_2020</vt:lpstr>
      <vt:lpstr>exportacions7_2021</vt:lpstr>
      <vt:lpstr>exportacions7_2022</vt:lpstr>
      <vt:lpstr>exportacions7_2023</vt:lpstr>
      <vt:lpstr>exportacions8_2016</vt:lpstr>
      <vt:lpstr>exportacions8_2017</vt:lpstr>
      <vt:lpstr>exportacions8_2018</vt:lpstr>
      <vt:lpstr>exportacions8_2019</vt:lpstr>
      <vt:lpstr>exportacions8_2020</vt:lpstr>
      <vt:lpstr>exportacions8_2021</vt:lpstr>
      <vt:lpstr>exportacions8_2022</vt:lpstr>
      <vt:lpstr>exportacions8_2023</vt:lpstr>
      <vt:lpstr>exportacions9_2016</vt:lpstr>
      <vt:lpstr>exportacions9_2017</vt:lpstr>
      <vt:lpstr>exportacions9_2018</vt:lpstr>
      <vt:lpstr>exportacions9_2019</vt:lpstr>
      <vt:lpstr>exportacions9_2020</vt:lpstr>
      <vt:lpstr>exportacions9_2021</vt:lpstr>
      <vt:lpstr>exportacions9_2022</vt:lpstr>
      <vt:lpstr>exportacions9_2023</vt:lpstr>
      <vt:lpstr>formacio1_2016</vt:lpstr>
      <vt:lpstr>formacio1_2017</vt:lpstr>
      <vt:lpstr>formacio1_2018</vt:lpstr>
      <vt:lpstr>formacio1_2019</vt:lpstr>
      <vt:lpstr>formacio1_2020</vt:lpstr>
      <vt:lpstr>formacio1_2021</vt:lpstr>
      <vt:lpstr>formacio1_2022</vt:lpstr>
      <vt:lpstr>formacio1_2023</vt:lpstr>
      <vt:lpstr>formacio10_2016</vt:lpstr>
      <vt:lpstr>formacio10_2017</vt:lpstr>
      <vt:lpstr>formacio10_2018</vt:lpstr>
      <vt:lpstr>formacio10_2019</vt:lpstr>
      <vt:lpstr>formacio10_2020</vt:lpstr>
      <vt:lpstr>formacio10_2021</vt:lpstr>
      <vt:lpstr>formacio10_2022</vt:lpstr>
      <vt:lpstr>formacio10_2023</vt:lpstr>
      <vt:lpstr>formacio11_2016</vt:lpstr>
      <vt:lpstr>formacio11_2017</vt:lpstr>
      <vt:lpstr>formacio11_2018</vt:lpstr>
      <vt:lpstr>formacio11_2019</vt:lpstr>
      <vt:lpstr>formacio11_2020</vt:lpstr>
      <vt:lpstr>formacio11_2021</vt:lpstr>
      <vt:lpstr>formacio11_2022</vt:lpstr>
      <vt:lpstr>formacio11_2023</vt:lpstr>
      <vt:lpstr>formacio2_2016</vt:lpstr>
      <vt:lpstr>formacio2_2017</vt:lpstr>
      <vt:lpstr>formacio2_2018</vt:lpstr>
      <vt:lpstr>formacio2_2019</vt:lpstr>
      <vt:lpstr>formacio2_2020</vt:lpstr>
      <vt:lpstr>formacio2_2021</vt:lpstr>
      <vt:lpstr>formacio2_2022</vt:lpstr>
      <vt:lpstr>formacio2_2023</vt:lpstr>
      <vt:lpstr>formacio2016</vt:lpstr>
      <vt:lpstr>formacio2017</vt:lpstr>
      <vt:lpstr>formacio2018</vt:lpstr>
      <vt:lpstr>formacio2019</vt:lpstr>
      <vt:lpstr>formacio2020</vt:lpstr>
      <vt:lpstr>formacio2021</vt:lpstr>
      <vt:lpstr>formacio2022</vt:lpstr>
      <vt:lpstr>formacio2023</vt:lpstr>
      <vt:lpstr>formacio3_2016</vt:lpstr>
      <vt:lpstr>formacio3_2017</vt:lpstr>
      <vt:lpstr>formacio3_2018</vt:lpstr>
      <vt:lpstr>formacio3_2019</vt:lpstr>
      <vt:lpstr>formacio3_2020</vt:lpstr>
      <vt:lpstr>formacio3_2021</vt:lpstr>
      <vt:lpstr>formacio3_2022</vt:lpstr>
      <vt:lpstr>formacio3_2023</vt:lpstr>
      <vt:lpstr>formacio4_2016</vt:lpstr>
      <vt:lpstr>formacio4_2017</vt:lpstr>
      <vt:lpstr>formacio4_2018</vt:lpstr>
      <vt:lpstr>formacio4_2019</vt:lpstr>
      <vt:lpstr>formacio4_2020</vt:lpstr>
      <vt:lpstr>formacio4_2021</vt:lpstr>
      <vt:lpstr>formacio4_2022</vt:lpstr>
      <vt:lpstr>formacio4_2023</vt:lpstr>
      <vt:lpstr>formacio5_2016</vt:lpstr>
      <vt:lpstr>formacio5_2017</vt:lpstr>
      <vt:lpstr>formacio5_2018</vt:lpstr>
      <vt:lpstr>formacio5_2019</vt:lpstr>
      <vt:lpstr>formacio5_2020</vt:lpstr>
      <vt:lpstr>formacio5_2021</vt:lpstr>
      <vt:lpstr>formacio5_2022</vt:lpstr>
      <vt:lpstr>formacio5_2023</vt:lpstr>
      <vt:lpstr>formacio6_2016</vt:lpstr>
      <vt:lpstr>formacio6_2017</vt:lpstr>
      <vt:lpstr>formacio6_2018</vt:lpstr>
      <vt:lpstr>formacio6_2019</vt:lpstr>
      <vt:lpstr>formacio6_2020</vt:lpstr>
      <vt:lpstr>formacio6_2021</vt:lpstr>
      <vt:lpstr>formacio6_2022</vt:lpstr>
      <vt:lpstr>formacio6_2023</vt:lpstr>
      <vt:lpstr>formacio7_2016</vt:lpstr>
      <vt:lpstr>formacio7_2017</vt:lpstr>
      <vt:lpstr>formacio7_2018</vt:lpstr>
      <vt:lpstr>formacio7_2019</vt:lpstr>
      <vt:lpstr>formacio7_2020</vt:lpstr>
      <vt:lpstr>formacio7_2021</vt:lpstr>
      <vt:lpstr>formacio7_2022</vt:lpstr>
      <vt:lpstr>formacio7_2023</vt:lpstr>
      <vt:lpstr>formacio8_2016</vt:lpstr>
      <vt:lpstr>formacio8_2017</vt:lpstr>
      <vt:lpstr>formacio8_2018</vt:lpstr>
      <vt:lpstr>formacio8_2019</vt:lpstr>
      <vt:lpstr>formacio8_2020</vt:lpstr>
      <vt:lpstr>formacio8_2021</vt:lpstr>
      <vt:lpstr>formacio8_2022</vt:lpstr>
      <vt:lpstr>formacio8_2023</vt:lpstr>
      <vt:lpstr>formacio9_2016</vt:lpstr>
      <vt:lpstr>formacio9_2017</vt:lpstr>
      <vt:lpstr>formacio9_2018</vt:lpstr>
      <vt:lpstr>formacio9_2019</vt:lpstr>
      <vt:lpstr>formacio9_2020</vt:lpstr>
      <vt:lpstr>formacio9_2021</vt:lpstr>
      <vt:lpstr>formacio9_2022</vt:lpstr>
      <vt:lpstr>formacio9_2023</vt:lpstr>
      <vt:lpstr>infraestructures1_2016</vt:lpstr>
      <vt:lpstr>infraestructures1_2017</vt:lpstr>
      <vt:lpstr>infraestructures1_2018</vt:lpstr>
      <vt:lpstr>infraestructures1_2019</vt:lpstr>
      <vt:lpstr>infraestructures1_2020</vt:lpstr>
      <vt:lpstr>infraestructures1_2021</vt:lpstr>
      <vt:lpstr>infraestructures1_2022</vt:lpstr>
      <vt:lpstr>infraestructures1_2023</vt:lpstr>
      <vt:lpstr>infraestructures10_2016</vt:lpstr>
      <vt:lpstr>infraestructures10_2017</vt:lpstr>
      <vt:lpstr>infraestructures10_2018</vt:lpstr>
      <vt:lpstr>infraestructures10_2019</vt:lpstr>
      <vt:lpstr>infraestructures10_2020</vt:lpstr>
      <vt:lpstr>infraestructures10_2021</vt:lpstr>
      <vt:lpstr>infraestructures10_2022</vt:lpstr>
      <vt:lpstr>infraestructures10_2023</vt:lpstr>
      <vt:lpstr>infraestructures11_2016</vt:lpstr>
      <vt:lpstr>infraestructures11_2017</vt:lpstr>
      <vt:lpstr>infraestructures11_2018</vt:lpstr>
      <vt:lpstr>infraestructures11_2019</vt:lpstr>
      <vt:lpstr>infraestructures11_2020</vt:lpstr>
      <vt:lpstr>infraestructures11_2021</vt:lpstr>
      <vt:lpstr>infraestructures11_2022</vt:lpstr>
      <vt:lpstr>infraestructures11_2023</vt:lpstr>
      <vt:lpstr>infraestructures2_2016</vt:lpstr>
      <vt:lpstr>infraestructures2_2017</vt:lpstr>
      <vt:lpstr>infraestructures2_2018</vt:lpstr>
      <vt:lpstr>infraestructures2_2019</vt:lpstr>
      <vt:lpstr>infraestructures2_2020</vt:lpstr>
      <vt:lpstr>infraestructures2_2021</vt:lpstr>
      <vt:lpstr>infraestructures2_2022</vt:lpstr>
      <vt:lpstr>infraestructures2_2023</vt:lpstr>
      <vt:lpstr>infraestructures2016</vt:lpstr>
      <vt:lpstr>infraestructures2017</vt:lpstr>
      <vt:lpstr>infraestructures2018</vt:lpstr>
      <vt:lpstr>infraestructures2019</vt:lpstr>
      <vt:lpstr>infraestructures2020</vt:lpstr>
      <vt:lpstr>infraestructures2021</vt:lpstr>
      <vt:lpstr>infraestructures2022</vt:lpstr>
      <vt:lpstr>infraestructures2023</vt:lpstr>
      <vt:lpstr>infraestructures3_2016</vt:lpstr>
      <vt:lpstr>infraestructures3_2017</vt:lpstr>
      <vt:lpstr>infraestructures3_2018</vt:lpstr>
      <vt:lpstr>infraestructures3_2019</vt:lpstr>
      <vt:lpstr>infraestructures3_2020</vt:lpstr>
      <vt:lpstr>infraestructures3_2021</vt:lpstr>
      <vt:lpstr>infraestructures3_2022</vt:lpstr>
      <vt:lpstr>infraestructures3_2023</vt:lpstr>
      <vt:lpstr>infraestructures4_2016</vt:lpstr>
      <vt:lpstr>infraestructures4_2017</vt:lpstr>
      <vt:lpstr>infraestructures4_2018</vt:lpstr>
      <vt:lpstr>infraestructures4_2019</vt:lpstr>
      <vt:lpstr>infraestructures4_2020</vt:lpstr>
      <vt:lpstr>infraestructures4_2021</vt:lpstr>
      <vt:lpstr>infraestructures4_2022</vt:lpstr>
      <vt:lpstr>infraestructures4_2023</vt:lpstr>
      <vt:lpstr>infraestructures5_2016</vt:lpstr>
      <vt:lpstr>infraestructures5_2017</vt:lpstr>
      <vt:lpstr>infraestructures5_2018</vt:lpstr>
      <vt:lpstr>infraestructures5_2019</vt:lpstr>
      <vt:lpstr>infraestructures5_2020</vt:lpstr>
      <vt:lpstr>infraestructures5_2021</vt:lpstr>
      <vt:lpstr>infraestructures5_2022</vt:lpstr>
      <vt:lpstr>infraestructures5_2023</vt:lpstr>
      <vt:lpstr>infraestructures6_2016</vt:lpstr>
      <vt:lpstr>infraestructures6_2017</vt:lpstr>
      <vt:lpstr>infraestructures6_2018</vt:lpstr>
      <vt:lpstr>infraestructures6_2019</vt:lpstr>
      <vt:lpstr>infraestructures6_2020</vt:lpstr>
      <vt:lpstr>infraestructures6_2021</vt:lpstr>
      <vt:lpstr>infraestructures6_2022</vt:lpstr>
      <vt:lpstr>infraestructures6_2023</vt:lpstr>
      <vt:lpstr>infraestructures7_2016</vt:lpstr>
      <vt:lpstr>infraestructures7_2017</vt:lpstr>
      <vt:lpstr>infraestructures7_2018</vt:lpstr>
      <vt:lpstr>infraestructures7_2019</vt:lpstr>
      <vt:lpstr>infraestructures7_2020</vt:lpstr>
      <vt:lpstr>infraestructures7_2021</vt:lpstr>
      <vt:lpstr>infraestructures7_2022</vt:lpstr>
      <vt:lpstr>infraestructures7_2023</vt:lpstr>
      <vt:lpstr>infraestructures8_2016</vt:lpstr>
      <vt:lpstr>infraestructures8_2017</vt:lpstr>
      <vt:lpstr>infraestructures8_2018</vt:lpstr>
      <vt:lpstr>infraestructures8_2019</vt:lpstr>
      <vt:lpstr>infraestructures8_2020</vt:lpstr>
      <vt:lpstr>infraestructures8_2021</vt:lpstr>
      <vt:lpstr>infraestructures8_2022</vt:lpstr>
      <vt:lpstr>infraestructures8_2023</vt:lpstr>
      <vt:lpstr>infraestructures9_2016</vt:lpstr>
      <vt:lpstr>infraestructures9_2017</vt:lpstr>
      <vt:lpstr>infraestructures9_2018</vt:lpstr>
      <vt:lpstr>infraestructures9_2019</vt:lpstr>
      <vt:lpstr>infraestructures9_2020</vt:lpstr>
      <vt:lpstr>infraestructures9_2021</vt:lpstr>
      <vt:lpstr>infraestructures9_2022</vt:lpstr>
      <vt:lpstr>infraestructures9_2023</vt:lpstr>
      <vt:lpstr>ingressos1_2016</vt:lpstr>
      <vt:lpstr>ingressos1_2017</vt:lpstr>
      <vt:lpstr>ingressos1_2018</vt:lpstr>
      <vt:lpstr>ingressos1_2019</vt:lpstr>
      <vt:lpstr>ingressos1_2020</vt:lpstr>
      <vt:lpstr>ingressos1_2021</vt:lpstr>
      <vt:lpstr>ingressos1_2022</vt:lpstr>
      <vt:lpstr>ingressos1_2023</vt:lpstr>
      <vt:lpstr>ingressos10_2016</vt:lpstr>
      <vt:lpstr>ingressos10_2017</vt:lpstr>
      <vt:lpstr>ingressos10_2018</vt:lpstr>
      <vt:lpstr>ingressos10_2019</vt:lpstr>
      <vt:lpstr>ingressos10_2020</vt:lpstr>
      <vt:lpstr>ingressos10_2021</vt:lpstr>
      <vt:lpstr>ingressos10_2022</vt:lpstr>
      <vt:lpstr>ingressos10_2023</vt:lpstr>
      <vt:lpstr>ingressos11_2016</vt:lpstr>
      <vt:lpstr>ingressos11_2017</vt:lpstr>
      <vt:lpstr>ingressos11_2018</vt:lpstr>
      <vt:lpstr>ingressos11_2019</vt:lpstr>
      <vt:lpstr>ingressos11_2020</vt:lpstr>
      <vt:lpstr>ingressos11_2021</vt:lpstr>
      <vt:lpstr>ingressos11_2022</vt:lpstr>
      <vt:lpstr>ingressos11_2023</vt:lpstr>
      <vt:lpstr>ingressos2_2016</vt:lpstr>
      <vt:lpstr>ingressos2_2017</vt:lpstr>
      <vt:lpstr>ingressos2_2018</vt:lpstr>
      <vt:lpstr>ingressos2_2019</vt:lpstr>
      <vt:lpstr>ingressos2_2020</vt:lpstr>
      <vt:lpstr>ingressos2_2021</vt:lpstr>
      <vt:lpstr>ingressos2_2022</vt:lpstr>
      <vt:lpstr>ingressos2_2023</vt:lpstr>
      <vt:lpstr>ingressos2016</vt:lpstr>
      <vt:lpstr>ingressos2017</vt:lpstr>
      <vt:lpstr>ingressos2018</vt:lpstr>
      <vt:lpstr>ingressos2019</vt:lpstr>
      <vt:lpstr>ingressos2020</vt:lpstr>
      <vt:lpstr>ingressos2021</vt:lpstr>
      <vt:lpstr>ingressos2022</vt:lpstr>
      <vt:lpstr>ingressos2023</vt:lpstr>
      <vt:lpstr>ingressos3_2016</vt:lpstr>
      <vt:lpstr>ingressos3_2017</vt:lpstr>
      <vt:lpstr>ingressos3_2018</vt:lpstr>
      <vt:lpstr>ingressos3_2019</vt:lpstr>
      <vt:lpstr>ingressos3_2020</vt:lpstr>
      <vt:lpstr>ingressos3_2021</vt:lpstr>
      <vt:lpstr>ingressos3_2022</vt:lpstr>
      <vt:lpstr>ingressos3_2023</vt:lpstr>
      <vt:lpstr>ingressos4_2016</vt:lpstr>
      <vt:lpstr>ingressos4_2017</vt:lpstr>
      <vt:lpstr>ingressos4_2018</vt:lpstr>
      <vt:lpstr>ingressos4_2019</vt:lpstr>
      <vt:lpstr>ingressos4_2020</vt:lpstr>
      <vt:lpstr>ingressos4_2021</vt:lpstr>
      <vt:lpstr>ingressos4_2022</vt:lpstr>
      <vt:lpstr>ingressos4_2023</vt:lpstr>
      <vt:lpstr>ingressos5_2016</vt:lpstr>
      <vt:lpstr>ingressos5_2017</vt:lpstr>
      <vt:lpstr>ingressos5_2018</vt:lpstr>
      <vt:lpstr>ingressos5_2019</vt:lpstr>
      <vt:lpstr>ingressos5_2020</vt:lpstr>
      <vt:lpstr>ingressos5_2021</vt:lpstr>
      <vt:lpstr>ingressos5_2022</vt:lpstr>
      <vt:lpstr>ingressos5_2023</vt:lpstr>
      <vt:lpstr>ingressos6_2016</vt:lpstr>
      <vt:lpstr>ingressos6_2017</vt:lpstr>
      <vt:lpstr>ingressos6_2018</vt:lpstr>
      <vt:lpstr>ingressos6_2019</vt:lpstr>
      <vt:lpstr>ingressos6_2020</vt:lpstr>
      <vt:lpstr>ingressos6_2021</vt:lpstr>
      <vt:lpstr>ingressos6_2022</vt:lpstr>
      <vt:lpstr>ingressos6_2023</vt:lpstr>
      <vt:lpstr>ingressos7_2016</vt:lpstr>
      <vt:lpstr>ingressos7_2017</vt:lpstr>
      <vt:lpstr>ingressos7_2018</vt:lpstr>
      <vt:lpstr>ingressos7_2019</vt:lpstr>
      <vt:lpstr>ingressos7_2020</vt:lpstr>
      <vt:lpstr>ingressos7_2021</vt:lpstr>
      <vt:lpstr>ingressos7_2022</vt:lpstr>
      <vt:lpstr>ingressos7_2023</vt:lpstr>
      <vt:lpstr>ingressos8_2016</vt:lpstr>
      <vt:lpstr>ingressos8_2017</vt:lpstr>
      <vt:lpstr>ingressos8_2018</vt:lpstr>
      <vt:lpstr>ingressos8_2019</vt:lpstr>
      <vt:lpstr>ingressos8_2020</vt:lpstr>
      <vt:lpstr>ingressos8_2021</vt:lpstr>
      <vt:lpstr>ingressos8_2022</vt:lpstr>
      <vt:lpstr>ingressos8_2023</vt:lpstr>
      <vt:lpstr>ingressos9_2016</vt:lpstr>
      <vt:lpstr>ingressos9_2017</vt:lpstr>
      <vt:lpstr>ingressos9_2018</vt:lpstr>
      <vt:lpstr>ingressos9_2019</vt:lpstr>
      <vt:lpstr>ingressos9_2020</vt:lpstr>
      <vt:lpstr>ingressos9_2021</vt:lpstr>
      <vt:lpstr>ingressos9_2022</vt:lpstr>
      <vt:lpstr>ingressos9_2023</vt:lpstr>
      <vt:lpstr>innoven1_2016</vt:lpstr>
      <vt:lpstr>innoven1_2017</vt:lpstr>
      <vt:lpstr>innoven1_2018</vt:lpstr>
      <vt:lpstr>innoven1_2019</vt:lpstr>
      <vt:lpstr>innoven1_2020</vt:lpstr>
      <vt:lpstr>innoven1_2021</vt:lpstr>
      <vt:lpstr>innoven1_2022</vt:lpstr>
      <vt:lpstr>innoven1_2023</vt:lpstr>
      <vt:lpstr>innoven10_2016</vt:lpstr>
      <vt:lpstr>innoven10_2017</vt:lpstr>
      <vt:lpstr>innoven10_2018</vt:lpstr>
      <vt:lpstr>innoven10_2019</vt:lpstr>
      <vt:lpstr>innoven10_2020</vt:lpstr>
      <vt:lpstr>innoven10_2021</vt:lpstr>
      <vt:lpstr>innoven10_2022</vt:lpstr>
      <vt:lpstr>innoven10_2023</vt:lpstr>
      <vt:lpstr>innoven11_2016</vt:lpstr>
      <vt:lpstr>innoven11_2017</vt:lpstr>
      <vt:lpstr>innoven11_2018</vt:lpstr>
      <vt:lpstr>innoven11_2019</vt:lpstr>
      <vt:lpstr>innoven11_2020</vt:lpstr>
      <vt:lpstr>innoven11_2021</vt:lpstr>
      <vt:lpstr>innoven11_2022</vt:lpstr>
      <vt:lpstr>innoven11_2023</vt:lpstr>
      <vt:lpstr>innoven2_2016</vt:lpstr>
      <vt:lpstr>innoven2_2017</vt:lpstr>
      <vt:lpstr>innoven2_2018</vt:lpstr>
      <vt:lpstr>innoven2_2019</vt:lpstr>
      <vt:lpstr>innoven2_2020</vt:lpstr>
      <vt:lpstr>innoven2_2021</vt:lpstr>
      <vt:lpstr>innoven2_2022</vt:lpstr>
      <vt:lpstr>innoven2_2023</vt:lpstr>
      <vt:lpstr>innoven2016</vt:lpstr>
      <vt:lpstr>innoven2017</vt:lpstr>
      <vt:lpstr>innoven2018</vt:lpstr>
      <vt:lpstr>innoven2019</vt:lpstr>
      <vt:lpstr>innoven2020</vt:lpstr>
      <vt:lpstr>innoven2021</vt:lpstr>
      <vt:lpstr>innoven2022</vt:lpstr>
      <vt:lpstr>innoven2023</vt:lpstr>
      <vt:lpstr>innoven3_2016</vt:lpstr>
      <vt:lpstr>innoven3_2017</vt:lpstr>
      <vt:lpstr>innoven3_2018</vt:lpstr>
      <vt:lpstr>innoven3_2019</vt:lpstr>
      <vt:lpstr>innoven3_2020</vt:lpstr>
      <vt:lpstr>innoven3_2021</vt:lpstr>
      <vt:lpstr>innoven3_2022</vt:lpstr>
      <vt:lpstr>innoven3_2023</vt:lpstr>
      <vt:lpstr>innoven4_2016</vt:lpstr>
      <vt:lpstr>innoven4_2017</vt:lpstr>
      <vt:lpstr>innoven4_2018</vt:lpstr>
      <vt:lpstr>innoven4_2019</vt:lpstr>
      <vt:lpstr>innoven4_2020</vt:lpstr>
      <vt:lpstr>innoven4_2021</vt:lpstr>
      <vt:lpstr>innoven4_2022</vt:lpstr>
      <vt:lpstr>innoven4_2023</vt:lpstr>
      <vt:lpstr>innoven5_2016</vt:lpstr>
      <vt:lpstr>innoven5_2017</vt:lpstr>
      <vt:lpstr>innoven5_2018</vt:lpstr>
      <vt:lpstr>innoven5_2019</vt:lpstr>
      <vt:lpstr>innoven5_2020</vt:lpstr>
      <vt:lpstr>innoven5_2021</vt:lpstr>
      <vt:lpstr>innoven5_2022</vt:lpstr>
      <vt:lpstr>innoven5_2023</vt:lpstr>
      <vt:lpstr>innoven6_2016</vt:lpstr>
      <vt:lpstr>innoven6_2017</vt:lpstr>
      <vt:lpstr>innoven6_2018</vt:lpstr>
      <vt:lpstr>innoven6_2019</vt:lpstr>
      <vt:lpstr>innoven6_2020</vt:lpstr>
      <vt:lpstr>innoven6_2021</vt:lpstr>
      <vt:lpstr>innoven6_2022</vt:lpstr>
      <vt:lpstr>innoven6_2023</vt:lpstr>
      <vt:lpstr>innoven7_2016</vt:lpstr>
      <vt:lpstr>innoven7_2017</vt:lpstr>
      <vt:lpstr>innoven7_2018</vt:lpstr>
      <vt:lpstr>innoven7_2019</vt:lpstr>
      <vt:lpstr>innoven7_2020</vt:lpstr>
      <vt:lpstr>innoven7_2021</vt:lpstr>
      <vt:lpstr>innoven7_2022</vt:lpstr>
      <vt:lpstr>innoven7_2023</vt:lpstr>
      <vt:lpstr>innoven8_2016</vt:lpstr>
      <vt:lpstr>innoven8_2017</vt:lpstr>
      <vt:lpstr>innoven8_2018</vt:lpstr>
      <vt:lpstr>innoven8_2019</vt:lpstr>
      <vt:lpstr>innoven8_2020</vt:lpstr>
      <vt:lpstr>innoven8_2021</vt:lpstr>
      <vt:lpstr>innoven8_2022</vt:lpstr>
      <vt:lpstr>innoven8_2023</vt:lpstr>
      <vt:lpstr>innoven9_2016</vt:lpstr>
      <vt:lpstr>innoven9_2017</vt:lpstr>
      <vt:lpstr>innoven9_2018</vt:lpstr>
      <vt:lpstr>innoven9_2019</vt:lpstr>
      <vt:lpstr>innoven9_2020</vt:lpstr>
      <vt:lpstr>innoven9_2021</vt:lpstr>
      <vt:lpstr>innoven9_2022</vt:lpstr>
      <vt:lpstr>innoven9_2023</vt:lpstr>
      <vt:lpstr>investigadorsdones1_2016</vt:lpstr>
      <vt:lpstr>investigadorsdones1_2017</vt:lpstr>
      <vt:lpstr>investigadorsdones1_2018</vt:lpstr>
      <vt:lpstr>investigadorsdones1_2019</vt:lpstr>
      <vt:lpstr>investigadorsdones1_2020</vt:lpstr>
      <vt:lpstr>investigadorsdones1_2021</vt:lpstr>
      <vt:lpstr>investigadorsdones1_2022</vt:lpstr>
      <vt:lpstr>investigadorsdones1_2023</vt:lpstr>
      <vt:lpstr>investigadorsdones10_2016</vt:lpstr>
      <vt:lpstr>investigadorsdones10_2017</vt:lpstr>
      <vt:lpstr>investigadorsdones10_2018</vt:lpstr>
      <vt:lpstr>investigadorsdones10_2019</vt:lpstr>
      <vt:lpstr>investigadorsdones10_2020</vt:lpstr>
      <vt:lpstr>investigadorsdones10_2021</vt:lpstr>
      <vt:lpstr>investigadorsdones10_2022</vt:lpstr>
      <vt:lpstr>investigadorsdones10_2023</vt:lpstr>
      <vt:lpstr>investigadorsdones11_2016</vt:lpstr>
      <vt:lpstr>investigadorsdones11_2017</vt:lpstr>
      <vt:lpstr>investigadorsdones11_2018</vt:lpstr>
      <vt:lpstr>investigadorsdones11_2019</vt:lpstr>
      <vt:lpstr>investigadorsdones11_2020</vt:lpstr>
      <vt:lpstr>investigadorsdones11_2021</vt:lpstr>
      <vt:lpstr>investigadorsdones11_2022</vt:lpstr>
      <vt:lpstr>investigadorsdones11_2023</vt:lpstr>
      <vt:lpstr>investigadorsdones2_2016</vt:lpstr>
      <vt:lpstr>investigadorsdones2_2017</vt:lpstr>
      <vt:lpstr>investigadorsdones2_2018</vt:lpstr>
      <vt:lpstr>investigadorsdones2_2019</vt:lpstr>
      <vt:lpstr>investigadorsdones2_2020</vt:lpstr>
      <vt:lpstr>investigadorsdones2_2021</vt:lpstr>
      <vt:lpstr>investigadorsdones2_2022</vt:lpstr>
      <vt:lpstr>investigadorsdones2_2023</vt:lpstr>
      <vt:lpstr>investigadorsdones2016</vt:lpstr>
      <vt:lpstr>investigadorsdones2017</vt:lpstr>
      <vt:lpstr>investigadorsdones2018</vt:lpstr>
      <vt:lpstr>investigadorsdones2019</vt:lpstr>
      <vt:lpstr>investigadorsdones2020</vt:lpstr>
      <vt:lpstr>investigadorsdones2021</vt:lpstr>
      <vt:lpstr>investigadorsdones2022</vt:lpstr>
      <vt:lpstr>investigadorsdones2023</vt:lpstr>
      <vt:lpstr>investigadorsdones3_2016</vt:lpstr>
      <vt:lpstr>investigadorsdones3_2017</vt:lpstr>
      <vt:lpstr>investigadorsdones3_2018</vt:lpstr>
      <vt:lpstr>investigadorsdones3_2019</vt:lpstr>
      <vt:lpstr>investigadorsdones3_2020</vt:lpstr>
      <vt:lpstr>investigadorsdones3_2021</vt:lpstr>
      <vt:lpstr>investigadorsdones3_2022</vt:lpstr>
      <vt:lpstr>investigadorsdones3_2023</vt:lpstr>
      <vt:lpstr>investigadorsdones4_2016</vt:lpstr>
      <vt:lpstr>investigadorsdones4_2017</vt:lpstr>
      <vt:lpstr>investigadorsdones4_2018</vt:lpstr>
      <vt:lpstr>investigadorsdones4_2019</vt:lpstr>
      <vt:lpstr>investigadorsdones4_2020</vt:lpstr>
      <vt:lpstr>investigadorsdones4_2021</vt:lpstr>
      <vt:lpstr>investigadorsdones4_2022</vt:lpstr>
      <vt:lpstr>investigadorsdones4_2023</vt:lpstr>
      <vt:lpstr>investigadorsdones5_2016</vt:lpstr>
      <vt:lpstr>investigadorsdones5_2017</vt:lpstr>
      <vt:lpstr>investigadorsdones5_2018</vt:lpstr>
      <vt:lpstr>investigadorsdones5_2019</vt:lpstr>
      <vt:lpstr>investigadorsdones5_2020</vt:lpstr>
      <vt:lpstr>investigadorsdones5_2021</vt:lpstr>
      <vt:lpstr>investigadorsdones5_2022</vt:lpstr>
      <vt:lpstr>investigadorsdones5_2023</vt:lpstr>
      <vt:lpstr>investigadorsdones6_2016</vt:lpstr>
      <vt:lpstr>investigadorsdones6_2017</vt:lpstr>
      <vt:lpstr>investigadorsdones6_2018</vt:lpstr>
      <vt:lpstr>investigadorsdones6_2019</vt:lpstr>
      <vt:lpstr>investigadorsdones6_2020</vt:lpstr>
      <vt:lpstr>investigadorsdones6_2021</vt:lpstr>
      <vt:lpstr>investigadorsdones6_2022</vt:lpstr>
      <vt:lpstr>investigadorsdones6_2023</vt:lpstr>
      <vt:lpstr>investigadorsdones7_2016</vt:lpstr>
      <vt:lpstr>investigadorsdones7_2017</vt:lpstr>
      <vt:lpstr>investigadorsdones7_2018</vt:lpstr>
      <vt:lpstr>investigadorsdones7_2019</vt:lpstr>
      <vt:lpstr>investigadorsdones7_2020</vt:lpstr>
      <vt:lpstr>investigadorsdones7_2021</vt:lpstr>
      <vt:lpstr>investigadorsdones7_2022</vt:lpstr>
      <vt:lpstr>investigadorsdones7_2023</vt:lpstr>
      <vt:lpstr>investigadorsdones8_2016</vt:lpstr>
      <vt:lpstr>investigadorsdones8_2017</vt:lpstr>
      <vt:lpstr>investigadorsdones8_2018</vt:lpstr>
      <vt:lpstr>investigadorsdones8_2019</vt:lpstr>
      <vt:lpstr>investigadorsdones8_2020</vt:lpstr>
      <vt:lpstr>investigadorsdones8_2021</vt:lpstr>
      <vt:lpstr>investigadorsdones8_2022</vt:lpstr>
      <vt:lpstr>investigadorsdones8_2023</vt:lpstr>
      <vt:lpstr>investigadorsdones9_2016</vt:lpstr>
      <vt:lpstr>investigadorsdones9_2017</vt:lpstr>
      <vt:lpstr>investigadorsdones9_2018</vt:lpstr>
      <vt:lpstr>investigadorsdones9_2019</vt:lpstr>
      <vt:lpstr>investigadorsdones9_2020</vt:lpstr>
      <vt:lpstr>investigadorsdones9_2021</vt:lpstr>
      <vt:lpstr>investigadorsdones9_2022</vt:lpstr>
      <vt:lpstr>investigadorsdones9_2023</vt:lpstr>
      <vt:lpstr>investigadorsdonesprojecte1_2017</vt:lpstr>
      <vt:lpstr>investigadorsdonesprojecte1_2018</vt:lpstr>
      <vt:lpstr>investigadorsdonesprojecte1_2019</vt:lpstr>
      <vt:lpstr>investigadorsdonesprojecte1_2020</vt:lpstr>
      <vt:lpstr>investigadorsdonesprojecte1_2021</vt:lpstr>
      <vt:lpstr>investigadorsdonesprojecte1_2022</vt:lpstr>
      <vt:lpstr>investigadorsdonesprojecte1_2023</vt:lpstr>
      <vt:lpstr>investigadorsdonesprojecte10_2016</vt:lpstr>
      <vt:lpstr>investigadorsdonesprojecte10_2017</vt:lpstr>
      <vt:lpstr>investigadorsdonesprojecte10_2018</vt:lpstr>
      <vt:lpstr>investigadorsdonesprojecte10_2019</vt:lpstr>
      <vt:lpstr>investigadorsdonesprojecte10_2020</vt:lpstr>
      <vt:lpstr>investigadorsdonesprojecte10_2021</vt:lpstr>
      <vt:lpstr>investigadorsdonesprojecte10_2022</vt:lpstr>
      <vt:lpstr>investigadorsdonesprojecte10_2023</vt:lpstr>
      <vt:lpstr>investigadorsdonesprojecte11_2016</vt:lpstr>
      <vt:lpstr>investigadorsdonesprojecte11_2017</vt:lpstr>
      <vt:lpstr>investigadorsdonesprojecte11_2018</vt:lpstr>
      <vt:lpstr>investigadorsdonesprojecte11_2019</vt:lpstr>
      <vt:lpstr>investigadorsdonesprojecte11_2020</vt:lpstr>
      <vt:lpstr>investigadorsdonesprojecte11_2021</vt:lpstr>
      <vt:lpstr>investigadorsdonesprojecte11_2022</vt:lpstr>
      <vt:lpstr>investigadorsdonesprojecte11_2023</vt:lpstr>
      <vt:lpstr>investigadorsdonesprojecte2_2017</vt:lpstr>
      <vt:lpstr>investigadorsdonesprojecte2_2018</vt:lpstr>
      <vt:lpstr>investigadorsdonesprojecte2_2019</vt:lpstr>
      <vt:lpstr>investigadorsdonesprojecte2_2020</vt:lpstr>
      <vt:lpstr>investigadorsdonesprojecte2_2021</vt:lpstr>
      <vt:lpstr>investigadorsdonesprojecte2_2022</vt:lpstr>
      <vt:lpstr>investigadorsdonesprojecte2_2023</vt:lpstr>
      <vt:lpstr>investigadorsdonesprojecte2016</vt:lpstr>
      <vt:lpstr>investigadorsdonesprojecte2017</vt:lpstr>
      <vt:lpstr>investigadorsdonesprojecte2018</vt:lpstr>
      <vt:lpstr>investigadorsdonesprojecte2019</vt:lpstr>
      <vt:lpstr>investigadorsdonesprojecte2020</vt:lpstr>
      <vt:lpstr>investigadorsdonesprojecte2021</vt:lpstr>
      <vt:lpstr>investigadorsdonesprojecte2022</vt:lpstr>
      <vt:lpstr>investigadorsdonesprojecte2023</vt:lpstr>
      <vt:lpstr>investigadorsdonesprojecte3_2016</vt:lpstr>
      <vt:lpstr>investigadorsdonesprojecte3_2017</vt:lpstr>
      <vt:lpstr>investigadorsdonesprojecte3_2018</vt:lpstr>
      <vt:lpstr>investigadorsdonesprojecte3_2019</vt:lpstr>
      <vt:lpstr>investigadorsdonesprojecte3_2020</vt:lpstr>
      <vt:lpstr>investigadorsdonesprojecte3_2021</vt:lpstr>
      <vt:lpstr>investigadorsdonesprojecte3_2022</vt:lpstr>
      <vt:lpstr>investigadorsdonesprojecte3_2023</vt:lpstr>
      <vt:lpstr>investigadorsdonesprojecte4_2016</vt:lpstr>
      <vt:lpstr>investigadorsdonesprojecte4_2017</vt:lpstr>
      <vt:lpstr>investigadorsdonesprojecte4_2018</vt:lpstr>
      <vt:lpstr>investigadorsdonesprojecte4_2019</vt:lpstr>
      <vt:lpstr>investigadorsdonesprojecte4_2020</vt:lpstr>
      <vt:lpstr>investigadorsdonesprojecte4_2021</vt:lpstr>
      <vt:lpstr>investigadorsdonesprojecte4_2022</vt:lpstr>
      <vt:lpstr>investigadorsdonesprojecte4_2023</vt:lpstr>
      <vt:lpstr>investigadorsdonesprojecte5_2016</vt:lpstr>
      <vt:lpstr>investigadorsdonesprojecte5_2017</vt:lpstr>
      <vt:lpstr>investigadorsdonesprojecte5_2018</vt:lpstr>
      <vt:lpstr>investigadorsdonesprojecte5_2019</vt:lpstr>
      <vt:lpstr>investigadorsdonesprojecte5_2020</vt:lpstr>
      <vt:lpstr>investigadorsdonesprojecte5_2021</vt:lpstr>
      <vt:lpstr>investigadorsdonesprojecte5_2022</vt:lpstr>
      <vt:lpstr>investigadorsdonesprojecte5_2023</vt:lpstr>
      <vt:lpstr>investigadorsdonesprojecte6_2016</vt:lpstr>
      <vt:lpstr>investigadorsdonesprojecte6_2017</vt:lpstr>
      <vt:lpstr>investigadorsdonesprojecte6_2018</vt:lpstr>
      <vt:lpstr>investigadorsdonesprojecte6_2019</vt:lpstr>
      <vt:lpstr>investigadorsdonesprojecte6_2020</vt:lpstr>
      <vt:lpstr>investigadorsdonesprojecte6_2021</vt:lpstr>
      <vt:lpstr>investigadorsdonesprojecte6_2022</vt:lpstr>
      <vt:lpstr>investigadorsdonesprojecte6_2023</vt:lpstr>
      <vt:lpstr>investigadorsdonesprojecte7_2016</vt:lpstr>
      <vt:lpstr>investigadorsdonesprojecte7_2017</vt:lpstr>
      <vt:lpstr>investigadorsdonesprojecte7_2018</vt:lpstr>
      <vt:lpstr>investigadorsdonesprojecte7_2019</vt:lpstr>
      <vt:lpstr>investigadorsdonesprojecte7_2020</vt:lpstr>
      <vt:lpstr>investigadorsdonesprojecte7_2021</vt:lpstr>
      <vt:lpstr>investigadorsdonesprojecte7_2022</vt:lpstr>
      <vt:lpstr>investigadorsdonesprojecte7_2023</vt:lpstr>
      <vt:lpstr>investigadorsdonesprojecte8_2016</vt:lpstr>
      <vt:lpstr>investigadorsdonesprojecte8_2017</vt:lpstr>
      <vt:lpstr>investigadorsdonesprojecte8_2018</vt:lpstr>
      <vt:lpstr>investigadorsdonesprojecte8_2019</vt:lpstr>
      <vt:lpstr>investigadorsdonesprojecte8_2020</vt:lpstr>
      <vt:lpstr>investigadorsdonesprojecte8_2021</vt:lpstr>
      <vt:lpstr>investigadorsdonesprojecte8_2022</vt:lpstr>
      <vt:lpstr>investigadorsdonesprojecte8_2023</vt:lpstr>
      <vt:lpstr>investigadorsdonesprojecte9_2017</vt:lpstr>
      <vt:lpstr>investigadorsdonesprojecte9_2018</vt:lpstr>
      <vt:lpstr>investigadorsdonesprojecte9_2019</vt:lpstr>
      <vt:lpstr>investigadorsdonesprojecte9_2020</vt:lpstr>
      <vt:lpstr>investigadorsdonesprojecte9_2021</vt:lpstr>
      <vt:lpstr>investigadorsdonesprojecte9_2022</vt:lpstr>
      <vt:lpstr>investigadorsdonesprojecte9_2023</vt:lpstr>
      <vt:lpstr>investigadorshomes1_2016</vt:lpstr>
      <vt:lpstr>investigadorshomes1_2017</vt:lpstr>
      <vt:lpstr>investigadorshomes1_2018</vt:lpstr>
      <vt:lpstr>investigadorshomes1_2019</vt:lpstr>
      <vt:lpstr>investigadorshomes1_2020</vt:lpstr>
      <vt:lpstr>investigadorshomes1_2021</vt:lpstr>
      <vt:lpstr>investigadorshomes1_2022</vt:lpstr>
      <vt:lpstr>investigadorshomes1_2023</vt:lpstr>
      <vt:lpstr>investigadorshomes10_2016</vt:lpstr>
      <vt:lpstr>investigadorshomes10_2017</vt:lpstr>
      <vt:lpstr>investigadorshomes10_2018</vt:lpstr>
      <vt:lpstr>investigadorshomes10_2019</vt:lpstr>
      <vt:lpstr>investigadorshomes10_2020</vt:lpstr>
      <vt:lpstr>investigadorshomes10_2021</vt:lpstr>
      <vt:lpstr>investigadorshomes10_2022</vt:lpstr>
      <vt:lpstr>investigadorshomes10_2023</vt:lpstr>
      <vt:lpstr>investigadorshomes11_2016</vt:lpstr>
      <vt:lpstr>investigadorshomes11_2017</vt:lpstr>
      <vt:lpstr>investigadorshomes11_2018</vt:lpstr>
      <vt:lpstr>investigadorshomes11_2019</vt:lpstr>
      <vt:lpstr>investigadorshomes11_2020</vt:lpstr>
      <vt:lpstr>investigadorshomes11_2021</vt:lpstr>
      <vt:lpstr>investigadorshomes11_2022</vt:lpstr>
      <vt:lpstr>investigadorshomes11_2023</vt:lpstr>
      <vt:lpstr>investigadorshomes2_2016</vt:lpstr>
      <vt:lpstr>investigadorshomes2_2017</vt:lpstr>
      <vt:lpstr>investigadorshomes2_2018</vt:lpstr>
      <vt:lpstr>investigadorshomes2_2019</vt:lpstr>
      <vt:lpstr>investigadorshomes2_2020</vt:lpstr>
      <vt:lpstr>investigadorshomes2_2021</vt:lpstr>
      <vt:lpstr>investigadorshomes2_2022</vt:lpstr>
      <vt:lpstr>investigadorshomes2_2023</vt:lpstr>
      <vt:lpstr>investigadorshomes2016</vt:lpstr>
      <vt:lpstr>investigadorshomes2017</vt:lpstr>
      <vt:lpstr>investigadorshomes2018</vt:lpstr>
      <vt:lpstr>investigadorshomes2019</vt:lpstr>
      <vt:lpstr>investigadorshomes2020</vt:lpstr>
      <vt:lpstr>investigadorshomes2021</vt:lpstr>
      <vt:lpstr>investigadorshomes2022</vt:lpstr>
      <vt:lpstr>investigadorshomes2023</vt:lpstr>
      <vt:lpstr>investigadorshomes3_2016</vt:lpstr>
      <vt:lpstr>investigadorshomes3_2017</vt:lpstr>
      <vt:lpstr>investigadorshomes3_2018</vt:lpstr>
      <vt:lpstr>investigadorshomes3_2019</vt:lpstr>
      <vt:lpstr>investigadorshomes3_2020</vt:lpstr>
      <vt:lpstr>investigadorshomes3_2021</vt:lpstr>
      <vt:lpstr>investigadorshomes3_2022</vt:lpstr>
      <vt:lpstr>investigadorshomes3_2023</vt:lpstr>
      <vt:lpstr>investigadorshomes4_2016</vt:lpstr>
      <vt:lpstr>investigadorshomes4_2017</vt:lpstr>
      <vt:lpstr>investigadorshomes4_2018</vt:lpstr>
      <vt:lpstr>investigadorshomes4_2019</vt:lpstr>
      <vt:lpstr>investigadorshomes4_2020</vt:lpstr>
      <vt:lpstr>investigadorshomes4_2021</vt:lpstr>
      <vt:lpstr>investigadorshomes4_2022</vt:lpstr>
      <vt:lpstr>investigadorshomes4_2023</vt:lpstr>
      <vt:lpstr>investigadorshomes5_2016</vt:lpstr>
      <vt:lpstr>investigadorshomes5_2017</vt:lpstr>
      <vt:lpstr>investigadorshomes5_2018</vt:lpstr>
      <vt:lpstr>investigadorshomes5_2019</vt:lpstr>
      <vt:lpstr>investigadorshomes5_2020</vt:lpstr>
      <vt:lpstr>investigadorshomes5_2021</vt:lpstr>
      <vt:lpstr>investigadorshomes5_2022</vt:lpstr>
      <vt:lpstr>investigadorshomes5_2023</vt:lpstr>
      <vt:lpstr>investigadorshomes6_2016</vt:lpstr>
      <vt:lpstr>investigadorshomes6_2017</vt:lpstr>
      <vt:lpstr>investigadorshomes6_2018</vt:lpstr>
      <vt:lpstr>investigadorshomes6_2019</vt:lpstr>
      <vt:lpstr>investigadorshomes6_2020</vt:lpstr>
      <vt:lpstr>investigadorshomes6_2021</vt:lpstr>
      <vt:lpstr>investigadorshomes6_2022</vt:lpstr>
      <vt:lpstr>investigadorshomes6_2023</vt:lpstr>
      <vt:lpstr>investigadorshomes7_2016</vt:lpstr>
      <vt:lpstr>investigadorshomes7_2017</vt:lpstr>
      <vt:lpstr>investigadorshomes7_2018</vt:lpstr>
      <vt:lpstr>investigadorshomes7_2019</vt:lpstr>
      <vt:lpstr>investigadorshomes7_2020</vt:lpstr>
      <vt:lpstr>investigadorshomes7_2021</vt:lpstr>
      <vt:lpstr>investigadorshomes7_2022</vt:lpstr>
      <vt:lpstr>investigadorshomes7_2023</vt:lpstr>
      <vt:lpstr>investigadorshomes8_2016</vt:lpstr>
      <vt:lpstr>investigadorshomes8_2017</vt:lpstr>
      <vt:lpstr>investigadorshomes8_2018</vt:lpstr>
      <vt:lpstr>investigadorshomes8_2019</vt:lpstr>
      <vt:lpstr>investigadorshomes8_2020</vt:lpstr>
      <vt:lpstr>investigadorshomes8_2021</vt:lpstr>
      <vt:lpstr>investigadorshomes8_2022</vt:lpstr>
      <vt:lpstr>investigadorshomes8_2023</vt:lpstr>
      <vt:lpstr>investigadorshomes9_2016</vt:lpstr>
      <vt:lpstr>investigadorshomes9_2017</vt:lpstr>
      <vt:lpstr>investigadorshomes9_2018</vt:lpstr>
      <vt:lpstr>investigadorshomes9_2019</vt:lpstr>
      <vt:lpstr>investigadorshomes9_2020</vt:lpstr>
      <vt:lpstr>investigadorshomes9_2021</vt:lpstr>
      <vt:lpstr>investigadorshomes9_2022</vt:lpstr>
      <vt:lpstr>investigadorshomes9_2023</vt:lpstr>
      <vt:lpstr>investigadorshomesprojecte1_2016</vt:lpstr>
      <vt:lpstr>investigadorshomesprojecte1_2017</vt:lpstr>
      <vt:lpstr>investigadorshomesprojecte1_2018</vt:lpstr>
      <vt:lpstr>investigadorshomesprojecte1_2019</vt:lpstr>
      <vt:lpstr>investigadorshomesprojecte1_2020</vt:lpstr>
      <vt:lpstr>investigadorshomesprojecte1_2021</vt:lpstr>
      <vt:lpstr>investigadorshomesprojecte1_2022</vt:lpstr>
      <vt:lpstr>investigadorshomesprojecte1_2023</vt:lpstr>
      <vt:lpstr>investigadorshomesprojecte10_2016</vt:lpstr>
      <vt:lpstr>investigadorshomesprojecte10_2017</vt:lpstr>
      <vt:lpstr>investigadorshomesprojecte10_2018</vt:lpstr>
      <vt:lpstr>investigadorshomesprojecte10_2019</vt:lpstr>
      <vt:lpstr>investigadorshomesprojecte10_2020</vt:lpstr>
      <vt:lpstr>investigadorshomesprojecte10_2021</vt:lpstr>
      <vt:lpstr>investigadorshomesprojecte10_2022</vt:lpstr>
      <vt:lpstr>investigadorshomesprojecte10_2023</vt:lpstr>
      <vt:lpstr>investigadorshomesprojecte11_2016</vt:lpstr>
      <vt:lpstr>investigadorshomesprojecte11_2017</vt:lpstr>
      <vt:lpstr>investigadorshomesprojecte11_2018</vt:lpstr>
      <vt:lpstr>investigadorshomesprojecte11_2019</vt:lpstr>
      <vt:lpstr>investigadorshomesprojecte11_2020</vt:lpstr>
      <vt:lpstr>investigadorshomesprojecte11_2021</vt:lpstr>
      <vt:lpstr>investigadorshomesprojecte11_2022</vt:lpstr>
      <vt:lpstr>investigadorshomesprojecte11_2023</vt:lpstr>
      <vt:lpstr>investigadorshomesprojecte2_2016</vt:lpstr>
      <vt:lpstr>investigadorshomesprojecte2_2017</vt:lpstr>
      <vt:lpstr>investigadorshomesprojecte2_2018</vt:lpstr>
      <vt:lpstr>investigadorshomesprojecte2_2019</vt:lpstr>
      <vt:lpstr>investigadorshomesprojecte2_2020</vt:lpstr>
      <vt:lpstr>investigadorshomesprojecte2_2021</vt:lpstr>
      <vt:lpstr>investigadorshomesprojecte2_2022</vt:lpstr>
      <vt:lpstr>investigadorshomesprojecte2_2023</vt:lpstr>
      <vt:lpstr>investigadorshomesprojecte2016</vt:lpstr>
      <vt:lpstr>investigadorshomesprojecte2017</vt:lpstr>
      <vt:lpstr>investigadorshomesprojecte2018</vt:lpstr>
      <vt:lpstr>investigadorshomesprojecte2019</vt:lpstr>
      <vt:lpstr>investigadorshomesprojecte2020</vt:lpstr>
      <vt:lpstr>investigadorshomesprojecte2021</vt:lpstr>
      <vt:lpstr>investigadorshomesprojecte2022</vt:lpstr>
      <vt:lpstr>investigadorshomesprojecte2023</vt:lpstr>
      <vt:lpstr>investigadorshomesprojecte3_2016</vt:lpstr>
      <vt:lpstr>investigadorshomesprojecte3_2017</vt:lpstr>
      <vt:lpstr>investigadorshomesprojecte3_2018</vt:lpstr>
      <vt:lpstr>investigadorshomesprojecte3_2019</vt:lpstr>
      <vt:lpstr>investigadorshomesprojecte3_2020</vt:lpstr>
      <vt:lpstr>investigadorshomesprojecte3_2021</vt:lpstr>
      <vt:lpstr>investigadorshomesprojecte3_2022</vt:lpstr>
      <vt:lpstr>investigadorshomesprojecte3_2023</vt:lpstr>
      <vt:lpstr>investigadorshomesprojecte4_2016</vt:lpstr>
      <vt:lpstr>investigadorshomesprojecte4_2017</vt:lpstr>
      <vt:lpstr>investigadorshomesprojecte4_2018</vt:lpstr>
      <vt:lpstr>investigadorshomesprojecte4_2019</vt:lpstr>
      <vt:lpstr>investigadorshomesprojecte4_2020</vt:lpstr>
      <vt:lpstr>investigadorshomesprojecte4_2021</vt:lpstr>
      <vt:lpstr>investigadorshomesprojecte4_2022</vt:lpstr>
      <vt:lpstr>investigadorshomesprojecte4_2023</vt:lpstr>
      <vt:lpstr>investigadorshomesprojecte5_2016</vt:lpstr>
      <vt:lpstr>investigadorshomesprojecte5_2017</vt:lpstr>
      <vt:lpstr>investigadorshomesprojecte5_2018</vt:lpstr>
      <vt:lpstr>investigadorshomesprojecte5_2019</vt:lpstr>
      <vt:lpstr>investigadorshomesprojecte5_2020</vt:lpstr>
      <vt:lpstr>investigadorshomesprojecte5_2021</vt:lpstr>
      <vt:lpstr>investigadorshomesprojecte5_2022</vt:lpstr>
      <vt:lpstr>investigadorshomesprojecte5_2023</vt:lpstr>
      <vt:lpstr>investigadorshomesprojecte6_2016</vt:lpstr>
      <vt:lpstr>investigadorshomesprojecte6_2017</vt:lpstr>
      <vt:lpstr>investigadorshomesprojecte6_2018</vt:lpstr>
      <vt:lpstr>investigadorshomesprojecte6_2019</vt:lpstr>
      <vt:lpstr>investigadorshomesprojecte6_2020</vt:lpstr>
      <vt:lpstr>investigadorshomesprojecte6_2021</vt:lpstr>
      <vt:lpstr>investigadorshomesprojecte6_2022</vt:lpstr>
      <vt:lpstr>investigadorshomesprojecte6_2023</vt:lpstr>
      <vt:lpstr>investigadorshomesprojecte7_2016</vt:lpstr>
      <vt:lpstr>investigadorshomesprojecte7_2017</vt:lpstr>
      <vt:lpstr>investigadorshomesprojecte7_2018</vt:lpstr>
      <vt:lpstr>investigadorshomesprojecte7_2019</vt:lpstr>
      <vt:lpstr>investigadorshomesprojecte7_2020</vt:lpstr>
      <vt:lpstr>investigadorshomesprojecte7_2021</vt:lpstr>
      <vt:lpstr>investigadorshomesprojecte7_2022</vt:lpstr>
      <vt:lpstr>investigadorshomesprojecte7_2023</vt:lpstr>
      <vt:lpstr>investigadorshomesprojecte8_2016</vt:lpstr>
      <vt:lpstr>investigadorshomesprojecte8_2017</vt:lpstr>
      <vt:lpstr>investigadorshomesprojecte8_2018</vt:lpstr>
      <vt:lpstr>investigadorshomesprojecte8_2019</vt:lpstr>
      <vt:lpstr>investigadorshomesprojecte8_2020</vt:lpstr>
      <vt:lpstr>investigadorshomesprojecte8_2021</vt:lpstr>
      <vt:lpstr>investigadorshomesprojecte8_2022</vt:lpstr>
      <vt:lpstr>investigadorshomesprojecte8_2023</vt:lpstr>
      <vt:lpstr>investigadorshomesprojecte9_2016</vt:lpstr>
      <vt:lpstr>investigadorshomesprojecte9_2017</vt:lpstr>
      <vt:lpstr>investigadorshomesprojecte9_2018</vt:lpstr>
      <vt:lpstr>investigadorshomesprojecte9_2019</vt:lpstr>
      <vt:lpstr>investigadorshomesprojecte9_2020</vt:lpstr>
      <vt:lpstr>investigadorshomesprojecte9_2021</vt:lpstr>
      <vt:lpstr>investigadorshomesprojecte9_2022</vt:lpstr>
      <vt:lpstr>investigadorshomesprojecte9_2023</vt:lpstr>
      <vt:lpstr>investigadorsprojectedones1_2016</vt:lpstr>
      <vt:lpstr>investigadorsprojectedones2_2016</vt:lpstr>
      <vt:lpstr>investigadorsprojectedones9_2016</vt:lpstr>
      <vt:lpstr>investigadorstotal_6</vt:lpstr>
      <vt:lpstr>investigadorstotal1_2016</vt:lpstr>
      <vt:lpstr>investigadorstotal1_2017</vt:lpstr>
      <vt:lpstr>investigadorstotal1_2018</vt:lpstr>
      <vt:lpstr>investigadorstotal1_2019</vt:lpstr>
      <vt:lpstr>investigadorstotal1_2020</vt:lpstr>
      <vt:lpstr>investigadorstotal1_2021</vt:lpstr>
      <vt:lpstr>investigadorstotal1_2022</vt:lpstr>
      <vt:lpstr>investigadorstotal1_2023</vt:lpstr>
      <vt:lpstr>investigadorstotal10_2016</vt:lpstr>
      <vt:lpstr>investigadorstotal10_2017</vt:lpstr>
      <vt:lpstr>investigadorstotal10_2018</vt:lpstr>
      <vt:lpstr>investigadorstotal10_2019</vt:lpstr>
      <vt:lpstr>investigadorstotal10_2020</vt:lpstr>
      <vt:lpstr>investigadorstotal10_2021</vt:lpstr>
      <vt:lpstr>investigadorstotal10_2022</vt:lpstr>
      <vt:lpstr>investigadorstotal10_2023</vt:lpstr>
      <vt:lpstr>investigadorstotal11_2016</vt:lpstr>
      <vt:lpstr>investigadorstotal11_2017</vt:lpstr>
      <vt:lpstr>investigadorstotal11_2018</vt:lpstr>
      <vt:lpstr>investigadorstotal11_2019</vt:lpstr>
      <vt:lpstr>investigadorstotal11_2020</vt:lpstr>
      <vt:lpstr>investigadorstotal11_2021</vt:lpstr>
      <vt:lpstr>investigadorstotal11_2022</vt:lpstr>
      <vt:lpstr>investigadorstotal11_2023</vt:lpstr>
      <vt:lpstr>investigadorstotal2_2016</vt:lpstr>
      <vt:lpstr>investigadorstotal2_2017</vt:lpstr>
      <vt:lpstr>investigadorstotal2_2018</vt:lpstr>
      <vt:lpstr>investigadorstotal2_2019</vt:lpstr>
      <vt:lpstr>investigadorstotal2_2020</vt:lpstr>
      <vt:lpstr>investigadorstotal2_2021</vt:lpstr>
      <vt:lpstr>investigadorstotal2_2022</vt:lpstr>
      <vt:lpstr>investigadorstotal2_2023</vt:lpstr>
      <vt:lpstr>investigadorstotal2016</vt:lpstr>
      <vt:lpstr>investigadorstotal2017</vt:lpstr>
      <vt:lpstr>investigadorstotal2018</vt:lpstr>
      <vt:lpstr>investigadorstotal2019</vt:lpstr>
      <vt:lpstr>investigadorstotal2020</vt:lpstr>
      <vt:lpstr>investigadorstotal2021</vt:lpstr>
      <vt:lpstr>investigadorstotal2022</vt:lpstr>
      <vt:lpstr>investigadorstotal2023</vt:lpstr>
      <vt:lpstr>investigadorstotal3_2016</vt:lpstr>
      <vt:lpstr>investigadorstotal3_2017</vt:lpstr>
      <vt:lpstr>investigadorstotal3_2018</vt:lpstr>
      <vt:lpstr>investigadorstotal3_2019</vt:lpstr>
      <vt:lpstr>investigadorstotal3_2020</vt:lpstr>
      <vt:lpstr>investigadorstotal3_2021</vt:lpstr>
      <vt:lpstr>investigadorstotal3_2022</vt:lpstr>
      <vt:lpstr>investigadorstotal3_2023</vt:lpstr>
      <vt:lpstr>investigadorstotal4_2016</vt:lpstr>
      <vt:lpstr>investigadorstotal4_2017</vt:lpstr>
      <vt:lpstr>investigadorstotal4_2018</vt:lpstr>
      <vt:lpstr>investigadorstotal4_2019</vt:lpstr>
      <vt:lpstr>investigadorstotal4_2020</vt:lpstr>
      <vt:lpstr>investigadorstotal4_2021</vt:lpstr>
      <vt:lpstr>investigadorstotal4_2022</vt:lpstr>
      <vt:lpstr>investigadorstotal4_2023</vt:lpstr>
      <vt:lpstr>investigadorstotal5_2016</vt:lpstr>
      <vt:lpstr>investigadorstotal5_2017</vt:lpstr>
      <vt:lpstr>investigadorstotal5_2018</vt:lpstr>
      <vt:lpstr>investigadorstotal5_2019</vt:lpstr>
      <vt:lpstr>investigadorstotal5_2020</vt:lpstr>
      <vt:lpstr>investigadorstotal5_2021</vt:lpstr>
      <vt:lpstr>investigadorstotal5_2022</vt:lpstr>
      <vt:lpstr>investigadorstotal5_2023</vt:lpstr>
      <vt:lpstr>investigadorstotal6_2017</vt:lpstr>
      <vt:lpstr>investigadorstotal6_2018</vt:lpstr>
      <vt:lpstr>investigadorstotal6_2019</vt:lpstr>
      <vt:lpstr>investigadorstotal6_2020</vt:lpstr>
      <vt:lpstr>investigadorstotal6_2021</vt:lpstr>
      <vt:lpstr>investigadorstotal6_2022</vt:lpstr>
      <vt:lpstr>investigadorstotal6_2023</vt:lpstr>
      <vt:lpstr>investigadorstotal7_2016</vt:lpstr>
      <vt:lpstr>investigadorstotal7_2017</vt:lpstr>
      <vt:lpstr>investigadorstotal7_2018</vt:lpstr>
      <vt:lpstr>investigadorstotal7_2019</vt:lpstr>
      <vt:lpstr>investigadorstotal7_2020</vt:lpstr>
      <vt:lpstr>investigadorstotal7_2021</vt:lpstr>
      <vt:lpstr>investigadorstotal7_2022</vt:lpstr>
      <vt:lpstr>investigadorstotal7_2023</vt:lpstr>
      <vt:lpstr>investigadorstotal8_2016</vt:lpstr>
      <vt:lpstr>investigadorstotal8_2017</vt:lpstr>
      <vt:lpstr>investigadorstotal8_2018</vt:lpstr>
      <vt:lpstr>investigadorstotal8_2019</vt:lpstr>
      <vt:lpstr>investigadorstotal8_2020</vt:lpstr>
      <vt:lpstr>investigadorstotal8_2021</vt:lpstr>
      <vt:lpstr>investigadorstotal8_2022</vt:lpstr>
      <vt:lpstr>investigadorstotal8_2023</vt:lpstr>
      <vt:lpstr>investigadorstotal9_2016</vt:lpstr>
      <vt:lpstr>investigadorstotal9_2017</vt:lpstr>
      <vt:lpstr>investigadorstotal9_2018</vt:lpstr>
      <vt:lpstr>investigadorstotal9_2019</vt:lpstr>
      <vt:lpstr>investigadorstotal9_2020</vt:lpstr>
      <vt:lpstr>investigadorstotal9_2021</vt:lpstr>
      <vt:lpstr>investigadorstotal9_2022</vt:lpstr>
      <vt:lpstr>investigadorstotal9_2023</vt:lpstr>
      <vt:lpstr>investigadorstotalprojecte1_2016</vt:lpstr>
      <vt:lpstr>investigadorstotalprojecte1_2017</vt:lpstr>
      <vt:lpstr>investigadorstotalprojecte1_2018</vt:lpstr>
      <vt:lpstr>investigadorstotalprojecte1_2019</vt:lpstr>
      <vt:lpstr>investigadorstotalprojecte1_2020</vt:lpstr>
      <vt:lpstr>investigadorstotalprojecte1_2021</vt:lpstr>
      <vt:lpstr>investigadorstotalprojecte1_2022</vt:lpstr>
      <vt:lpstr>investigadorstotalprojecte1_2023</vt:lpstr>
      <vt:lpstr>investigadorstotalprojecte10_2016</vt:lpstr>
      <vt:lpstr>investigadorstotalprojecte10_2017</vt:lpstr>
      <vt:lpstr>investigadorstotalprojecte10_2018</vt:lpstr>
      <vt:lpstr>investigadorstotalprojecte10_2019</vt:lpstr>
      <vt:lpstr>investigadorstotalprojecte10_2020</vt:lpstr>
      <vt:lpstr>investigadorstotalprojecte10_2021</vt:lpstr>
      <vt:lpstr>investigadorstotalprojecte10_2022</vt:lpstr>
      <vt:lpstr>investigadorstotalprojecte10_2023</vt:lpstr>
      <vt:lpstr>investigadorstotalprojecte11_2016</vt:lpstr>
      <vt:lpstr>investigadorstotalprojecte11_2017</vt:lpstr>
      <vt:lpstr>investigadorstotalprojecte11_2018</vt:lpstr>
      <vt:lpstr>investigadorstotalprojecte11_2019</vt:lpstr>
      <vt:lpstr>investigadorstotalprojecte11_2020</vt:lpstr>
      <vt:lpstr>investigadorstotalprojecte11_2021</vt:lpstr>
      <vt:lpstr>investigadorstotalprojecte11_2022</vt:lpstr>
      <vt:lpstr>investigadorstotalprojecte11_2023</vt:lpstr>
      <vt:lpstr>investigadorstotalprojecte2_2016</vt:lpstr>
      <vt:lpstr>investigadorstotalprojecte2_2017</vt:lpstr>
      <vt:lpstr>investigadorstotalprojecte2_2018</vt:lpstr>
      <vt:lpstr>investigadorstotalprojecte2_2019</vt:lpstr>
      <vt:lpstr>investigadorstotalprojecte2_2020</vt:lpstr>
      <vt:lpstr>investigadorstotalprojecte2_2021</vt:lpstr>
      <vt:lpstr>investigadorstotalprojecte2_2022</vt:lpstr>
      <vt:lpstr>investigadorstotalprojecte2_2023</vt:lpstr>
      <vt:lpstr>investigadorstotalprojecte2016</vt:lpstr>
      <vt:lpstr>investigadorstotalprojecte2017</vt:lpstr>
      <vt:lpstr>investigadorstotalprojecte2018</vt:lpstr>
      <vt:lpstr>investigadorstotalprojecte2019</vt:lpstr>
      <vt:lpstr>investigadorstotalprojecte2020</vt:lpstr>
      <vt:lpstr>investigadorstotalprojecte2021</vt:lpstr>
      <vt:lpstr>investigadorstotalprojecte2022</vt:lpstr>
      <vt:lpstr>investigadorstotalprojecte2023</vt:lpstr>
      <vt:lpstr>investigadorstotalprojecte3_2016</vt:lpstr>
      <vt:lpstr>investigadorstotalprojecte3_2017</vt:lpstr>
      <vt:lpstr>investigadorstotalprojecte3_2018</vt:lpstr>
      <vt:lpstr>investigadorstotalprojecte3_2019</vt:lpstr>
      <vt:lpstr>investigadorstotalprojecte3_2020</vt:lpstr>
      <vt:lpstr>investigadorstotalprojecte3_2021</vt:lpstr>
      <vt:lpstr>investigadorstotalprojecte3_2022</vt:lpstr>
      <vt:lpstr>investigadorstotalprojecte3_2023</vt:lpstr>
      <vt:lpstr>investigadorstotalprojecte4_2016</vt:lpstr>
      <vt:lpstr>investigadorstotalprojecte4_2017</vt:lpstr>
      <vt:lpstr>investigadorstotalprojecte4_2018</vt:lpstr>
      <vt:lpstr>investigadorstotalprojecte4_2019</vt:lpstr>
      <vt:lpstr>investigadorstotalprojecte4_2020</vt:lpstr>
      <vt:lpstr>investigadorstotalprojecte4_2021</vt:lpstr>
      <vt:lpstr>investigadorstotalprojecte4_2022</vt:lpstr>
      <vt:lpstr>investigadorstotalprojecte4_2023</vt:lpstr>
      <vt:lpstr>investigadorstotalprojecte5_2016</vt:lpstr>
      <vt:lpstr>investigadorstotalprojecte5_2017</vt:lpstr>
      <vt:lpstr>investigadorstotalprojecte5_2018</vt:lpstr>
      <vt:lpstr>investigadorstotalprojecte5_2019</vt:lpstr>
      <vt:lpstr>investigadorstotalprojecte5_2020</vt:lpstr>
      <vt:lpstr>investigadorstotalprojecte5_2021</vt:lpstr>
      <vt:lpstr>investigadorstotalprojecte5_2022</vt:lpstr>
      <vt:lpstr>investigadorstotalprojecte5_2023</vt:lpstr>
      <vt:lpstr>investigadorstotalprojecte6_2016</vt:lpstr>
      <vt:lpstr>investigadorstotalprojecte6_2017</vt:lpstr>
      <vt:lpstr>investigadorstotalprojecte6_2018</vt:lpstr>
      <vt:lpstr>investigadorstotalprojecte6_2019</vt:lpstr>
      <vt:lpstr>investigadorstotalprojecte6_2020</vt:lpstr>
      <vt:lpstr>investigadorstotalprojecte6_2021</vt:lpstr>
      <vt:lpstr>investigadorstotalprojecte6_2022</vt:lpstr>
      <vt:lpstr>investigadorstotalprojecte6_2023</vt:lpstr>
      <vt:lpstr>investigadorstotalprojecte7_2016</vt:lpstr>
      <vt:lpstr>investigadorstotalprojecte7_2017</vt:lpstr>
      <vt:lpstr>investigadorstotalprojecte7_2018</vt:lpstr>
      <vt:lpstr>investigadorstotalprojecte7_2019</vt:lpstr>
      <vt:lpstr>investigadorstotalprojecte7_2020</vt:lpstr>
      <vt:lpstr>investigadorstotalprojecte7_2021</vt:lpstr>
      <vt:lpstr>investigadorstotalprojecte7_2022</vt:lpstr>
      <vt:lpstr>investigadorstotalprojecte7_2023</vt:lpstr>
      <vt:lpstr>investigadorstotalprojecte8_2016</vt:lpstr>
      <vt:lpstr>investigadorstotalprojecte8_2017</vt:lpstr>
      <vt:lpstr>investigadorstotalprojecte8_2018</vt:lpstr>
      <vt:lpstr>investigadorstotalprojecte8_2019</vt:lpstr>
      <vt:lpstr>investigadorstotalprojecte8_2020</vt:lpstr>
      <vt:lpstr>investigadorstotalprojecte8_2021</vt:lpstr>
      <vt:lpstr>investigadorstotalprojecte8_2022</vt:lpstr>
      <vt:lpstr>investigadorstotalprojecte8_2023</vt:lpstr>
      <vt:lpstr>investigadorstotalprojecte9_2016</vt:lpstr>
      <vt:lpstr>investigadorstotalprojecte9_2017</vt:lpstr>
      <vt:lpstr>investigadorstotalprojecte9_2018</vt:lpstr>
      <vt:lpstr>investigadorstotalprojecte9_2019</vt:lpstr>
      <vt:lpstr>investigadorstotalprojecte9_2020</vt:lpstr>
      <vt:lpstr>investigadorstotalprojecte9_2021</vt:lpstr>
      <vt:lpstr>investigadorstotalprojecte9_2022</vt:lpstr>
      <vt:lpstr>investigadorstotalprojecte9_2023</vt:lpstr>
      <vt:lpstr>iprivada1_2016</vt:lpstr>
      <vt:lpstr>iprivada1_2017</vt:lpstr>
      <vt:lpstr>iprivada1_2018</vt:lpstr>
      <vt:lpstr>iprivada1_2019</vt:lpstr>
      <vt:lpstr>iprivada1_2020</vt:lpstr>
      <vt:lpstr>iprivada1_2021</vt:lpstr>
      <vt:lpstr>iprivada1_2022</vt:lpstr>
      <vt:lpstr>iprivada1_2023</vt:lpstr>
      <vt:lpstr>iprivada10_2016</vt:lpstr>
      <vt:lpstr>iprivada10_2017</vt:lpstr>
      <vt:lpstr>iprivada10_2018</vt:lpstr>
      <vt:lpstr>iprivada10_2019</vt:lpstr>
      <vt:lpstr>iprivada10_2020</vt:lpstr>
      <vt:lpstr>iprivada10_2021</vt:lpstr>
      <vt:lpstr>iprivada10_2022</vt:lpstr>
      <vt:lpstr>iprivada10_2023</vt:lpstr>
      <vt:lpstr>iprivada11_2016</vt:lpstr>
      <vt:lpstr>iprivada11_2017</vt:lpstr>
      <vt:lpstr>iprivada11_2018</vt:lpstr>
      <vt:lpstr>iprivada11_2019</vt:lpstr>
      <vt:lpstr>iprivada11_2020</vt:lpstr>
      <vt:lpstr>iprivada11_2021</vt:lpstr>
      <vt:lpstr>iprivada11_2022</vt:lpstr>
      <vt:lpstr>iprivada11_2023</vt:lpstr>
      <vt:lpstr>iprivada2_2016</vt:lpstr>
      <vt:lpstr>iprivada2_2017</vt:lpstr>
      <vt:lpstr>iprivada2_2018</vt:lpstr>
      <vt:lpstr>iprivada2_2019</vt:lpstr>
      <vt:lpstr>iprivada2_2020</vt:lpstr>
      <vt:lpstr>iprivada2_2021</vt:lpstr>
      <vt:lpstr>iprivada2_2022</vt:lpstr>
      <vt:lpstr>iprivada2_2023</vt:lpstr>
      <vt:lpstr>iprivada2016</vt:lpstr>
      <vt:lpstr>iprivada2017</vt:lpstr>
      <vt:lpstr>iprivada2018</vt:lpstr>
      <vt:lpstr>iprivada2019</vt:lpstr>
      <vt:lpstr>iprivada2020</vt:lpstr>
      <vt:lpstr>iprivada2021</vt:lpstr>
      <vt:lpstr>iprivada2022</vt:lpstr>
      <vt:lpstr>iprivada2023</vt:lpstr>
      <vt:lpstr>iprivada3_2016</vt:lpstr>
      <vt:lpstr>iprivada3_2017</vt:lpstr>
      <vt:lpstr>iprivada3_2018</vt:lpstr>
      <vt:lpstr>iprivada3_2019</vt:lpstr>
      <vt:lpstr>iprivada3_2020</vt:lpstr>
      <vt:lpstr>iprivada3_2021</vt:lpstr>
      <vt:lpstr>iprivada3_2022</vt:lpstr>
      <vt:lpstr>iprivada3_2023</vt:lpstr>
      <vt:lpstr>iprivada4_2016</vt:lpstr>
      <vt:lpstr>iprivada4_2017</vt:lpstr>
      <vt:lpstr>iprivada4_2018</vt:lpstr>
      <vt:lpstr>iprivada4_2019</vt:lpstr>
      <vt:lpstr>iprivada4_2020</vt:lpstr>
      <vt:lpstr>iprivada4_2021</vt:lpstr>
      <vt:lpstr>iprivada4_2022</vt:lpstr>
      <vt:lpstr>iprivada4_2023</vt:lpstr>
      <vt:lpstr>iprivada5_2016</vt:lpstr>
      <vt:lpstr>iprivada5_2017</vt:lpstr>
      <vt:lpstr>iprivada5_2018</vt:lpstr>
      <vt:lpstr>iprivada5_2019</vt:lpstr>
      <vt:lpstr>iprivada5_2020</vt:lpstr>
      <vt:lpstr>iprivada5_2021</vt:lpstr>
      <vt:lpstr>iprivada5_2022</vt:lpstr>
      <vt:lpstr>iprivada5_2023</vt:lpstr>
      <vt:lpstr>iprivada6_2016</vt:lpstr>
      <vt:lpstr>iprivada6_2017</vt:lpstr>
      <vt:lpstr>iprivada6_2018</vt:lpstr>
      <vt:lpstr>iprivada6_2019</vt:lpstr>
      <vt:lpstr>iprivada6_2020</vt:lpstr>
      <vt:lpstr>iprivada6_2021</vt:lpstr>
      <vt:lpstr>iprivada6_2022</vt:lpstr>
      <vt:lpstr>iprivada6_2023</vt:lpstr>
      <vt:lpstr>iprivada7_2016</vt:lpstr>
      <vt:lpstr>iprivada7_2017</vt:lpstr>
      <vt:lpstr>iprivada7_2018</vt:lpstr>
      <vt:lpstr>iprivada7_2019</vt:lpstr>
      <vt:lpstr>iprivada7_2020</vt:lpstr>
      <vt:lpstr>iprivada7_2021</vt:lpstr>
      <vt:lpstr>iprivada7_2022</vt:lpstr>
      <vt:lpstr>iprivada7_2023</vt:lpstr>
      <vt:lpstr>iprivada8_2016</vt:lpstr>
      <vt:lpstr>iprivada8_2017</vt:lpstr>
      <vt:lpstr>iprivada8_2018</vt:lpstr>
      <vt:lpstr>iprivada8_2019</vt:lpstr>
      <vt:lpstr>iprivada8_2020</vt:lpstr>
      <vt:lpstr>iprivada8_2021</vt:lpstr>
      <vt:lpstr>iprivada8_2022</vt:lpstr>
      <vt:lpstr>iprivada8_2023</vt:lpstr>
      <vt:lpstr>iprivada9_2016</vt:lpstr>
      <vt:lpstr>iprivada9_2017</vt:lpstr>
      <vt:lpstr>iprivada9_2018</vt:lpstr>
      <vt:lpstr>iprivada9_2019</vt:lpstr>
      <vt:lpstr>iprivada9_2020</vt:lpstr>
      <vt:lpstr>iprivada9_2021</vt:lpstr>
      <vt:lpstr>iprivada9_2022</vt:lpstr>
      <vt:lpstr>iprivada9_2023</vt:lpstr>
      <vt:lpstr>iprivadaipublica1_2016</vt:lpstr>
      <vt:lpstr>iprivadaipublica1_2017</vt:lpstr>
      <vt:lpstr>iprivadaipublica1_2018</vt:lpstr>
      <vt:lpstr>iprivadaipublica1_2019</vt:lpstr>
      <vt:lpstr>iprivadaipublica1_2020</vt:lpstr>
      <vt:lpstr>iprivadaipublica1_2021</vt:lpstr>
      <vt:lpstr>iprivadaipublica1_2022</vt:lpstr>
      <vt:lpstr>iprivadaipublica1_2023</vt:lpstr>
      <vt:lpstr>iprivadaipublica10_2016</vt:lpstr>
      <vt:lpstr>iprivadaipublica10_2017</vt:lpstr>
      <vt:lpstr>iprivadaipublica10_2018</vt:lpstr>
      <vt:lpstr>iprivadaipublica10_2019</vt:lpstr>
      <vt:lpstr>iprivadaipublica10_2020</vt:lpstr>
      <vt:lpstr>iprivadaipublica10_2021</vt:lpstr>
      <vt:lpstr>iprivadaipublica10_2022</vt:lpstr>
      <vt:lpstr>iprivadaipublica10_2023</vt:lpstr>
      <vt:lpstr>iprivadaipublica11_2016</vt:lpstr>
      <vt:lpstr>iprivadaipublica11_2017</vt:lpstr>
      <vt:lpstr>iprivadaipublica11_2018</vt:lpstr>
      <vt:lpstr>iprivadaipublica11_2019</vt:lpstr>
      <vt:lpstr>iprivadaipublica11_2020</vt:lpstr>
      <vt:lpstr>iprivadaipublica11_2021</vt:lpstr>
      <vt:lpstr>iprivadaipublica11_2022</vt:lpstr>
      <vt:lpstr>iprivadaipublica11_2023</vt:lpstr>
      <vt:lpstr>iprivadaipublica2_2016</vt:lpstr>
      <vt:lpstr>iprivadaipublica2_2017</vt:lpstr>
      <vt:lpstr>iprivadaipublica2_2018</vt:lpstr>
      <vt:lpstr>iprivadaipublica2_2019</vt:lpstr>
      <vt:lpstr>iprivadaipublica2_2020</vt:lpstr>
      <vt:lpstr>iprivadaipublica2_2021</vt:lpstr>
      <vt:lpstr>iprivadaipublica2_2022</vt:lpstr>
      <vt:lpstr>iprivadaipublica2_2023</vt:lpstr>
      <vt:lpstr>iprivadaipublica2016</vt:lpstr>
      <vt:lpstr>iprivadaipublica2017</vt:lpstr>
      <vt:lpstr>iprivadaipublica2018</vt:lpstr>
      <vt:lpstr>iprivadaipublica2019</vt:lpstr>
      <vt:lpstr>iprivadaipublica2020</vt:lpstr>
      <vt:lpstr>iprivadaipublica2021</vt:lpstr>
      <vt:lpstr>iprivadaipublica2022</vt:lpstr>
      <vt:lpstr>iprivadaipublica2023</vt:lpstr>
      <vt:lpstr>iprivadaipublica3_2016</vt:lpstr>
      <vt:lpstr>iprivadaipublica3_2017</vt:lpstr>
      <vt:lpstr>iprivadaipublica3_2018</vt:lpstr>
      <vt:lpstr>iprivadaipublica3_2019</vt:lpstr>
      <vt:lpstr>iprivadaipublica3_2020</vt:lpstr>
      <vt:lpstr>iprivadaipublica3_2021</vt:lpstr>
      <vt:lpstr>iprivadaipublica3_2022</vt:lpstr>
      <vt:lpstr>iprivadaipublica3_2023</vt:lpstr>
      <vt:lpstr>iprivadaipublica4_2016</vt:lpstr>
      <vt:lpstr>iprivadaipublica4_2017</vt:lpstr>
      <vt:lpstr>iprivadaipublica4_2018</vt:lpstr>
      <vt:lpstr>iprivadaipublica4_2019</vt:lpstr>
      <vt:lpstr>iprivadaipublica4_2020</vt:lpstr>
      <vt:lpstr>iprivadaipublica4_2021</vt:lpstr>
      <vt:lpstr>iprivadaipublica4_2022</vt:lpstr>
      <vt:lpstr>iprivadaipublica4_2023</vt:lpstr>
      <vt:lpstr>iprivadaipublica5_2017</vt:lpstr>
      <vt:lpstr>iprivadaipublica5_2018</vt:lpstr>
      <vt:lpstr>iprivadaipublica5_2019</vt:lpstr>
      <vt:lpstr>iprivadaipublica5_2020</vt:lpstr>
      <vt:lpstr>iprivadaipublica5_2021</vt:lpstr>
      <vt:lpstr>iprivadaipublica5_2022</vt:lpstr>
      <vt:lpstr>iprivadaipublica5_2023</vt:lpstr>
      <vt:lpstr>iprivadaipublica6_2016</vt:lpstr>
      <vt:lpstr>iprivadaipublica6_2017</vt:lpstr>
      <vt:lpstr>iprivadaipublica6_2018</vt:lpstr>
      <vt:lpstr>iprivadaipublica6_2019</vt:lpstr>
      <vt:lpstr>iprivadaipublica6_2020</vt:lpstr>
      <vt:lpstr>iprivadaipublica6_2021</vt:lpstr>
      <vt:lpstr>iprivadaipublica6_2022</vt:lpstr>
      <vt:lpstr>iprivadaipublica6_2023</vt:lpstr>
      <vt:lpstr>iprivadaipublica7_2016</vt:lpstr>
      <vt:lpstr>iprivadaipublica7_2017</vt:lpstr>
      <vt:lpstr>iprivadaipublica7_2018</vt:lpstr>
      <vt:lpstr>iprivadaipublica7_2019</vt:lpstr>
      <vt:lpstr>iprivadaipublica7_2020</vt:lpstr>
      <vt:lpstr>iprivadaipublica7_2021</vt:lpstr>
      <vt:lpstr>iprivadaipublica7_2022</vt:lpstr>
      <vt:lpstr>iprivadaipublica7_2023</vt:lpstr>
      <vt:lpstr>iprivadaipublica8_2016</vt:lpstr>
      <vt:lpstr>iprivadaipublica8_2017</vt:lpstr>
      <vt:lpstr>iprivadaipublica8_2018</vt:lpstr>
      <vt:lpstr>iprivadaipublica8_2019</vt:lpstr>
      <vt:lpstr>iprivadaipublica8_2020</vt:lpstr>
      <vt:lpstr>iprivadaipublica8_2021</vt:lpstr>
      <vt:lpstr>iprivadaipublica8_2022</vt:lpstr>
      <vt:lpstr>iprivadaipublica8_2023</vt:lpstr>
      <vt:lpstr>iprivadaipublica9_2016</vt:lpstr>
      <vt:lpstr>iprivadaipublica9_2017</vt:lpstr>
      <vt:lpstr>iprivadaipublica9_2018</vt:lpstr>
      <vt:lpstr>iprivadaipublica9_2019</vt:lpstr>
      <vt:lpstr>iprivadaipublica9_2020</vt:lpstr>
      <vt:lpstr>iprivadaipublica9_2021</vt:lpstr>
      <vt:lpstr>iprivadaipublica9_2022</vt:lpstr>
      <vt:lpstr>iprivadaipublica9_2023</vt:lpstr>
      <vt:lpstr>ipublica1_2016</vt:lpstr>
      <vt:lpstr>ipublica1_2017</vt:lpstr>
      <vt:lpstr>ipublica1_2018</vt:lpstr>
      <vt:lpstr>ipublica1_2019</vt:lpstr>
      <vt:lpstr>ipublica1_2020</vt:lpstr>
      <vt:lpstr>ipublica1_2021</vt:lpstr>
      <vt:lpstr>ipublica1_2022</vt:lpstr>
      <vt:lpstr>ipublica1_2023</vt:lpstr>
      <vt:lpstr>ipublica10_2016</vt:lpstr>
      <vt:lpstr>ipublica10_2017</vt:lpstr>
      <vt:lpstr>ipublica10_2018</vt:lpstr>
      <vt:lpstr>ipublica10_2019</vt:lpstr>
      <vt:lpstr>ipublica10_2020</vt:lpstr>
      <vt:lpstr>ipublica10_2021</vt:lpstr>
      <vt:lpstr>ipublica10_2022</vt:lpstr>
      <vt:lpstr>ipublica10_2023</vt:lpstr>
      <vt:lpstr>ipublica11_2016</vt:lpstr>
      <vt:lpstr>ipublica11_2017</vt:lpstr>
      <vt:lpstr>ipublica11_2018</vt:lpstr>
      <vt:lpstr>ipublica11_2019</vt:lpstr>
      <vt:lpstr>ipublica11_2020</vt:lpstr>
      <vt:lpstr>ipublica11_2021</vt:lpstr>
      <vt:lpstr>ipublica11_2022</vt:lpstr>
      <vt:lpstr>ipublica11_2023</vt:lpstr>
      <vt:lpstr>ipublica2_2016</vt:lpstr>
      <vt:lpstr>ipublica2_2017</vt:lpstr>
      <vt:lpstr>ipublica2_2018</vt:lpstr>
      <vt:lpstr>ipublica2_2019</vt:lpstr>
      <vt:lpstr>ipublica2_2020</vt:lpstr>
      <vt:lpstr>ipublica2_2021</vt:lpstr>
      <vt:lpstr>ipublica2_2022</vt:lpstr>
      <vt:lpstr>ipublica2_2023</vt:lpstr>
      <vt:lpstr>ipublica2016</vt:lpstr>
      <vt:lpstr>ipublica2017</vt:lpstr>
      <vt:lpstr>ipublica2018</vt:lpstr>
      <vt:lpstr>ipublica2019</vt:lpstr>
      <vt:lpstr>ipublica2020</vt:lpstr>
      <vt:lpstr>ipublica2021</vt:lpstr>
      <vt:lpstr>ipublica2022</vt:lpstr>
      <vt:lpstr>ipublica2023</vt:lpstr>
      <vt:lpstr>ipublica3_2016</vt:lpstr>
      <vt:lpstr>ipublica3_2017</vt:lpstr>
      <vt:lpstr>ipublica3_2018</vt:lpstr>
      <vt:lpstr>ipublica3_2019</vt:lpstr>
      <vt:lpstr>ipublica3_2020</vt:lpstr>
      <vt:lpstr>ipublica3_2021</vt:lpstr>
      <vt:lpstr>ipublica3_2022</vt:lpstr>
      <vt:lpstr>ipublica3_2023</vt:lpstr>
      <vt:lpstr>ipublica4_2016</vt:lpstr>
      <vt:lpstr>ipublica4_2017</vt:lpstr>
      <vt:lpstr>ipublica4_2018</vt:lpstr>
      <vt:lpstr>ipublica4_2019</vt:lpstr>
      <vt:lpstr>ipublica4_2020</vt:lpstr>
      <vt:lpstr>ipublica4_2021</vt:lpstr>
      <vt:lpstr>ipublica4_2022</vt:lpstr>
      <vt:lpstr>ipublica4_2023</vt:lpstr>
      <vt:lpstr>ipublica5_2016</vt:lpstr>
      <vt:lpstr>ipublica5_2017</vt:lpstr>
      <vt:lpstr>ipublica5_2018</vt:lpstr>
      <vt:lpstr>ipublica5_2019</vt:lpstr>
      <vt:lpstr>ipublica5_2020</vt:lpstr>
      <vt:lpstr>ipublica5_2021</vt:lpstr>
      <vt:lpstr>ipublica5_2022</vt:lpstr>
      <vt:lpstr>ipublica5_2023</vt:lpstr>
      <vt:lpstr>ipublica6_2016</vt:lpstr>
      <vt:lpstr>ipublica6_2017</vt:lpstr>
      <vt:lpstr>ipublica6_2018</vt:lpstr>
      <vt:lpstr>ipublica6_2019</vt:lpstr>
      <vt:lpstr>ipublica6_2020</vt:lpstr>
      <vt:lpstr>ipublica6_2021</vt:lpstr>
      <vt:lpstr>ipublica6_2022</vt:lpstr>
      <vt:lpstr>ipublica6_2023</vt:lpstr>
      <vt:lpstr>ipublica7_2016</vt:lpstr>
      <vt:lpstr>ipublica7_2017</vt:lpstr>
      <vt:lpstr>ipublica7_2018</vt:lpstr>
      <vt:lpstr>ipublica7_2019</vt:lpstr>
      <vt:lpstr>ipublica7_2020</vt:lpstr>
      <vt:lpstr>ipublica7_2021</vt:lpstr>
      <vt:lpstr>ipublica7_2022</vt:lpstr>
      <vt:lpstr>ipublica7_2023</vt:lpstr>
      <vt:lpstr>ipublica8_2016</vt:lpstr>
      <vt:lpstr>ipublica8_2017</vt:lpstr>
      <vt:lpstr>ipublica8_2018</vt:lpstr>
      <vt:lpstr>ipublica8_2019</vt:lpstr>
      <vt:lpstr>ipublica8_2020</vt:lpstr>
      <vt:lpstr>ipublica8_2021</vt:lpstr>
      <vt:lpstr>ipublica8_2022</vt:lpstr>
      <vt:lpstr>ipublica8_2023</vt:lpstr>
      <vt:lpstr>ipublica9_2016</vt:lpstr>
      <vt:lpstr>ipublica9_2017</vt:lpstr>
      <vt:lpstr>ipublica9_2018</vt:lpstr>
      <vt:lpstr>ipublica9_2019</vt:lpstr>
      <vt:lpstr>ipublica9_2020</vt:lpstr>
      <vt:lpstr>ipublica9_2021</vt:lpstr>
      <vt:lpstr>ipublica9_2022</vt:lpstr>
      <vt:lpstr>ipublica9_2023</vt:lpstr>
      <vt:lpstr>irpivadaipublica5_2016</vt:lpstr>
      <vt:lpstr>justificacio</vt:lpstr>
      <vt:lpstr>llocsdetreball1_2016</vt:lpstr>
      <vt:lpstr>llocsdetreball1_2017</vt:lpstr>
      <vt:lpstr>llocsdetreball1_2018</vt:lpstr>
      <vt:lpstr>llocsdetreball1_2019</vt:lpstr>
      <vt:lpstr>llocsdetreball1_2020</vt:lpstr>
      <vt:lpstr>llocsdetreball1_2021</vt:lpstr>
      <vt:lpstr>llocsdetreball1_2022</vt:lpstr>
      <vt:lpstr>llocsdetreball1_2023</vt:lpstr>
      <vt:lpstr>llocsdetreball10_2016</vt:lpstr>
      <vt:lpstr>llocsdetreball10_2017</vt:lpstr>
      <vt:lpstr>llocsdetreball10_2018</vt:lpstr>
      <vt:lpstr>llocsdetreball10_2019</vt:lpstr>
      <vt:lpstr>llocsdetreball10_2020</vt:lpstr>
      <vt:lpstr>llocsdetreball10_2021</vt:lpstr>
      <vt:lpstr>llocsdetreball10_2022</vt:lpstr>
      <vt:lpstr>llocsdetreball10_2023</vt:lpstr>
      <vt:lpstr>llocsdetreball11_2016</vt:lpstr>
      <vt:lpstr>llocsdetreball11_2017</vt:lpstr>
      <vt:lpstr>llocsdetreball11_2018</vt:lpstr>
      <vt:lpstr>llocsdetreball11_2019</vt:lpstr>
      <vt:lpstr>llocsdetreball11_2020</vt:lpstr>
      <vt:lpstr>llocsdetreball11_2021</vt:lpstr>
      <vt:lpstr>llocsdetreball11_2022</vt:lpstr>
      <vt:lpstr>llocsdetreball11_2023</vt:lpstr>
      <vt:lpstr>llocsdetreball2_2016</vt:lpstr>
      <vt:lpstr>llocsdetreball2_2017</vt:lpstr>
      <vt:lpstr>llocsdetreball2_2018</vt:lpstr>
      <vt:lpstr>llocsdetreball2_2019</vt:lpstr>
      <vt:lpstr>llocsdetreball2_2020</vt:lpstr>
      <vt:lpstr>llocsdetreball2_2021</vt:lpstr>
      <vt:lpstr>llocsdetreball2_2022</vt:lpstr>
      <vt:lpstr>llocsdetreball2_2023</vt:lpstr>
      <vt:lpstr>llocsdetreball2016</vt:lpstr>
      <vt:lpstr>llocsdetreball2017</vt:lpstr>
      <vt:lpstr>llocsdetreball2018</vt:lpstr>
      <vt:lpstr>llocsdetreball2019</vt:lpstr>
      <vt:lpstr>llocsdetreball2020</vt:lpstr>
      <vt:lpstr>llocsdetreball2021</vt:lpstr>
      <vt:lpstr>llocsdetreball2022</vt:lpstr>
      <vt:lpstr>llocsdetreball2023</vt:lpstr>
      <vt:lpstr>llocsdetreball3_2016</vt:lpstr>
      <vt:lpstr>llocsdetreball3_2017</vt:lpstr>
      <vt:lpstr>llocsdetreball3_2018</vt:lpstr>
      <vt:lpstr>llocsdetreball3_2019</vt:lpstr>
      <vt:lpstr>llocsdetreball3_2020</vt:lpstr>
      <vt:lpstr>llocsdetreball3_2021</vt:lpstr>
      <vt:lpstr>llocsdetreball3_2022</vt:lpstr>
      <vt:lpstr>llocsdetreball3_2023</vt:lpstr>
      <vt:lpstr>llocsdetreball4_2016</vt:lpstr>
      <vt:lpstr>llocsdetreball4_2017</vt:lpstr>
      <vt:lpstr>llocsdetreball4_2018</vt:lpstr>
      <vt:lpstr>llocsdetreball4_2019</vt:lpstr>
      <vt:lpstr>llocsdetreball4_2020</vt:lpstr>
      <vt:lpstr>llocsdetreball4_2021</vt:lpstr>
      <vt:lpstr>llocsdetreball4_2022</vt:lpstr>
      <vt:lpstr>llocsdetreball4_2023</vt:lpstr>
      <vt:lpstr>llocsdetreball5_2016</vt:lpstr>
      <vt:lpstr>llocsdetreball5_2017</vt:lpstr>
      <vt:lpstr>llocsdetreball5_2018</vt:lpstr>
      <vt:lpstr>llocsdetreball5_2019</vt:lpstr>
      <vt:lpstr>llocsdetreball5_2020</vt:lpstr>
      <vt:lpstr>llocsdetreball5_2021</vt:lpstr>
      <vt:lpstr>llocsdetreball5_2022</vt:lpstr>
      <vt:lpstr>llocsdetreball5_2023</vt:lpstr>
      <vt:lpstr>llocsdetreball6_2016</vt:lpstr>
      <vt:lpstr>llocsdetreball6_2017</vt:lpstr>
      <vt:lpstr>llocsdetreball6_2018</vt:lpstr>
      <vt:lpstr>llocsdetreball6_2019</vt:lpstr>
      <vt:lpstr>llocsdetreball6_2020</vt:lpstr>
      <vt:lpstr>llocsdetreball6_2021</vt:lpstr>
      <vt:lpstr>llocsdetreball6_2022</vt:lpstr>
      <vt:lpstr>llocsdetreball6_2023</vt:lpstr>
      <vt:lpstr>llocsdetreball7_2016</vt:lpstr>
      <vt:lpstr>llocsdetreball7_2017</vt:lpstr>
      <vt:lpstr>llocsdetreball7_2018</vt:lpstr>
      <vt:lpstr>llocsdetreball7_2019</vt:lpstr>
      <vt:lpstr>llocsdetreball7_2020</vt:lpstr>
      <vt:lpstr>llocsdetreball7_2021</vt:lpstr>
      <vt:lpstr>llocsdetreball7_2022</vt:lpstr>
      <vt:lpstr>llocsdetreball7_2023</vt:lpstr>
      <vt:lpstr>llocsdetreball8_2016</vt:lpstr>
      <vt:lpstr>llocsdetreball8_2017</vt:lpstr>
      <vt:lpstr>llocsdetreball8_2018</vt:lpstr>
      <vt:lpstr>llocsdetreball8_2019</vt:lpstr>
      <vt:lpstr>llocsdetreball8_2020</vt:lpstr>
      <vt:lpstr>llocsdetreball8_2021</vt:lpstr>
      <vt:lpstr>llocsdetreball8_2022</vt:lpstr>
      <vt:lpstr>llocsdetreball8_2023</vt:lpstr>
      <vt:lpstr>llocsdetreball9_2016</vt:lpstr>
      <vt:lpstr>llocsdetreball9_2017</vt:lpstr>
      <vt:lpstr>llocsdetreball9_2018</vt:lpstr>
      <vt:lpstr>llocsdetreball9_2019</vt:lpstr>
      <vt:lpstr>llocsdetreball9_2020</vt:lpstr>
      <vt:lpstr>llocsdetreball9_2021</vt:lpstr>
      <vt:lpstr>llocsdetreball9_2022</vt:lpstr>
      <vt:lpstr>llocsdetreball9_2023</vt:lpstr>
      <vt:lpstr>marques1_2016</vt:lpstr>
      <vt:lpstr>marques1_2017</vt:lpstr>
      <vt:lpstr>marques1_2018</vt:lpstr>
      <vt:lpstr>marques1_2019</vt:lpstr>
      <vt:lpstr>marques1_2020</vt:lpstr>
      <vt:lpstr>marques1_2021</vt:lpstr>
      <vt:lpstr>marques1_2022</vt:lpstr>
      <vt:lpstr>marques1_2023</vt:lpstr>
      <vt:lpstr>marques10_2016</vt:lpstr>
      <vt:lpstr>marques10_2017</vt:lpstr>
      <vt:lpstr>marques10_2018</vt:lpstr>
      <vt:lpstr>marques10_2019</vt:lpstr>
      <vt:lpstr>marques10_2020</vt:lpstr>
      <vt:lpstr>marques10_2021</vt:lpstr>
      <vt:lpstr>marques10_2022</vt:lpstr>
      <vt:lpstr>marques10_2023</vt:lpstr>
      <vt:lpstr>marques11_2016</vt:lpstr>
      <vt:lpstr>marques11_2017</vt:lpstr>
      <vt:lpstr>marques11_2018</vt:lpstr>
      <vt:lpstr>marques11_2019</vt:lpstr>
      <vt:lpstr>marques11_2020</vt:lpstr>
      <vt:lpstr>marques11_2021</vt:lpstr>
      <vt:lpstr>marques11_2022</vt:lpstr>
      <vt:lpstr>marques11_2023</vt:lpstr>
      <vt:lpstr>marques2_2016</vt:lpstr>
      <vt:lpstr>marques2_2017</vt:lpstr>
      <vt:lpstr>marques2_2018</vt:lpstr>
      <vt:lpstr>marques2_2019</vt:lpstr>
      <vt:lpstr>marques2_2020</vt:lpstr>
      <vt:lpstr>marques2_2021</vt:lpstr>
      <vt:lpstr>marques2_2022</vt:lpstr>
      <vt:lpstr>marques2_2023</vt:lpstr>
      <vt:lpstr>marques2016</vt:lpstr>
      <vt:lpstr>marques2017</vt:lpstr>
      <vt:lpstr>marques2018</vt:lpstr>
      <vt:lpstr>marques2019</vt:lpstr>
      <vt:lpstr>marques2020</vt:lpstr>
      <vt:lpstr>marques2021</vt:lpstr>
      <vt:lpstr>marques2022</vt:lpstr>
      <vt:lpstr>marques2023</vt:lpstr>
      <vt:lpstr>marques3_2016</vt:lpstr>
      <vt:lpstr>marques3_2017</vt:lpstr>
      <vt:lpstr>marques3_2018</vt:lpstr>
      <vt:lpstr>marques3_2019</vt:lpstr>
      <vt:lpstr>marques3_2020</vt:lpstr>
      <vt:lpstr>marques3_2021</vt:lpstr>
      <vt:lpstr>marques3_2022</vt:lpstr>
      <vt:lpstr>marques3_2023</vt:lpstr>
      <vt:lpstr>marques4_2016</vt:lpstr>
      <vt:lpstr>marques4_2017</vt:lpstr>
      <vt:lpstr>marques4_2018</vt:lpstr>
      <vt:lpstr>marques4_2019</vt:lpstr>
      <vt:lpstr>marques4_2020</vt:lpstr>
      <vt:lpstr>marques4_2021</vt:lpstr>
      <vt:lpstr>marques4_2022</vt:lpstr>
      <vt:lpstr>marques4_2023</vt:lpstr>
      <vt:lpstr>marques5_2016</vt:lpstr>
      <vt:lpstr>marques5_2017</vt:lpstr>
      <vt:lpstr>marques5_2018</vt:lpstr>
      <vt:lpstr>marques5_2019</vt:lpstr>
      <vt:lpstr>marques5_2020</vt:lpstr>
      <vt:lpstr>marques5_2021</vt:lpstr>
      <vt:lpstr>marques5_2022</vt:lpstr>
      <vt:lpstr>marques5_2023</vt:lpstr>
      <vt:lpstr>marques6_2016</vt:lpstr>
      <vt:lpstr>marques6_2017</vt:lpstr>
      <vt:lpstr>marques6_2018</vt:lpstr>
      <vt:lpstr>marques6_2019</vt:lpstr>
      <vt:lpstr>marques6_2020</vt:lpstr>
      <vt:lpstr>marques6_2021</vt:lpstr>
      <vt:lpstr>marques6_2022</vt:lpstr>
      <vt:lpstr>marques6_2023</vt:lpstr>
      <vt:lpstr>marques7_2016</vt:lpstr>
      <vt:lpstr>marques7_2017</vt:lpstr>
      <vt:lpstr>marques7_2018</vt:lpstr>
      <vt:lpstr>marques7_2019</vt:lpstr>
      <vt:lpstr>marques7_2020</vt:lpstr>
      <vt:lpstr>marques7_2021</vt:lpstr>
      <vt:lpstr>marques7_2022</vt:lpstr>
      <vt:lpstr>marques7_2023</vt:lpstr>
      <vt:lpstr>marques8_2016</vt:lpstr>
      <vt:lpstr>marques8_2017</vt:lpstr>
      <vt:lpstr>marques8_2018</vt:lpstr>
      <vt:lpstr>marques8_2019</vt:lpstr>
      <vt:lpstr>marques8_2020</vt:lpstr>
      <vt:lpstr>marques8_2021</vt:lpstr>
      <vt:lpstr>marques8_2022</vt:lpstr>
      <vt:lpstr>marques8_2023</vt:lpstr>
      <vt:lpstr>marques9_2016</vt:lpstr>
      <vt:lpstr>marques9_2017</vt:lpstr>
      <vt:lpstr>marques9_2018</vt:lpstr>
      <vt:lpstr>marques9_2019</vt:lpstr>
      <vt:lpstr>marques9_2020</vt:lpstr>
      <vt:lpstr>marques9_2021</vt:lpstr>
      <vt:lpstr>marques9_2022</vt:lpstr>
      <vt:lpstr>marques9_2023</vt:lpstr>
      <vt:lpstr>nif_1</vt:lpstr>
      <vt:lpstr>nif_10</vt:lpstr>
      <vt:lpstr>nif_11</vt:lpstr>
      <vt:lpstr>nif_12</vt:lpstr>
      <vt:lpstr>nif_2</vt:lpstr>
      <vt:lpstr>nif_3</vt:lpstr>
      <vt:lpstr>nif_4</vt:lpstr>
      <vt:lpstr>nif_5</vt:lpstr>
      <vt:lpstr>nif_6</vt:lpstr>
      <vt:lpstr>nif_7</vt:lpstr>
      <vt:lpstr>nif_8</vt:lpstr>
      <vt:lpstr>nif_9</vt:lpstr>
      <vt:lpstr>nomemp1</vt:lpstr>
      <vt:lpstr>nomemp10</vt:lpstr>
      <vt:lpstr>nomemp11</vt:lpstr>
      <vt:lpstr>nomemp12</vt:lpstr>
      <vt:lpstr>nomemp2</vt:lpstr>
      <vt:lpstr>nomemp3</vt:lpstr>
      <vt:lpstr>nomemp4</vt:lpstr>
      <vt:lpstr>nomemp5</vt:lpstr>
      <vt:lpstr>nomemp6</vt:lpstr>
      <vt:lpstr>nomemp7</vt:lpstr>
      <vt:lpstr>nomemp8</vt:lpstr>
      <vt:lpstr>nomemp9</vt:lpstr>
      <vt:lpstr>oportunitats1_2017</vt:lpstr>
      <vt:lpstr>oportunitats1_2018</vt:lpstr>
      <vt:lpstr>oportunitats1_2019</vt:lpstr>
      <vt:lpstr>oportunitats1_2020</vt:lpstr>
      <vt:lpstr>oportunitats1_2021</vt:lpstr>
      <vt:lpstr>oportunitats1_2022</vt:lpstr>
      <vt:lpstr>oportunitats1_2023</vt:lpstr>
      <vt:lpstr>oportunitats10_2016</vt:lpstr>
      <vt:lpstr>oportunitats10_2017</vt:lpstr>
      <vt:lpstr>oportunitats10_2018</vt:lpstr>
      <vt:lpstr>oportunitats10_2019</vt:lpstr>
      <vt:lpstr>oportunitats10_2020</vt:lpstr>
      <vt:lpstr>oportunitats10_2021</vt:lpstr>
      <vt:lpstr>oportunitats10_2022</vt:lpstr>
      <vt:lpstr>oportunitats10_2023</vt:lpstr>
      <vt:lpstr>oportunitats11_2016</vt:lpstr>
      <vt:lpstr>oportunitats11_2017</vt:lpstr>
      <vt:lpstr>oportunitats11_2018</vt:lpstr>
      <vt:lpstr>oportunitats11_2019</vt:lpstr>
      <vt:lpstr>oportunitats11_2020</vt:lpstr>
      <vt:lpstr>oportunitats11_2021</vt:lpstr>
      <vt:lpstr>oportunitats11_2022</vt:lpstr>
      <vt:lpstr>oportunitats11_2023</vt:lpstr>
      <vt:lpstr>oportunitats2_2016</vt:lpstr>
      <vt:lpstr>oportunitats2_2017</vt:lpstr>
      <vt:lpstr>oportunitats2_2018</vt:lpstr>
      <vt:lpstr>oportunitats2_2019</vt:lpstr>
      <vt:lpstr>oportunitats2_2020</vt:lpstr>
      <vt:lpstr>oportunitats2_2021</vt:lpstr>
      <vt:lpstr>oportunitats2_2022</vt:lpstr>
      <vt:lpstr>oportunitats2_2023</vt:lpstr>
      <vt:lpstr>oportunitats2016</vt:lpstr>
      <vt:lpstr>oportunitats2017</vt:lpstr>
      <vt:lpstr>oportunitats2018</vt:lpstr>
      <vt:lpstr>oportunitats2019</vt:lpstr>
      <vt:lpstr>oportunitats2020</vt:lpstr>
      <vt:lpstr>oportunitats2021</vt:lpstr>
      <vt:lpstr>oportunitats2022</vt:lpstr>
      <vt:lpstr>oportunitats2023</vt:lpstr>
      <vt:lpstr>oportunitats3_2016</vt:lpstr>
      <vt:lpstr>oportunitats3_2017</vt:lpstr>
      <vt:lpstr>oportunitats3_2018</vt:lpstr>
      <vt:lpstr>oportunitats3_2019</vt:lpstr>
      <vt:lpstr>oportunitats3_2020</vt:lpstr>
      <vt:lpstr>oportunitats3_2021</vt:lpstr>
      <vt:lpstr>oportunitats3_2022</vt:lpstr>
      <vt:lpstr>oportunitats3_2023</vt:lpstr>
      <vt:lpstr>oportunitats4_2016</vt:lpstr>
      <vt:lpstr>oportunitats4_2017</vt:lpstr>
      <vt:lpstr>oportunitats4_2018</vt:lpstr>
      <vt:lpstr>oportunitats4_2019</vt:lpstr>
      <vt:lpstr>oportunitats4_2020</vt:lpstr>
      <vt:lpstr>oportunitats4_2021</vt:lpstr>
      <vt:lpstr>oportunitats4_2022</vt:lpstr>
      <vt:lpstr>oportunitats4_2023</vt:lpstr>
      <vt:lpstr>oportunitats5_2016</vt:lpstr>
      <vt:lpstr>oportunitats5_2017</vt:lpstr>
      <vt:lpstr>oportunitats5_2018</vt:lpstr>
      <vt:lpstr>oportunitats5_2019</vt:lpstr>
      <vt:lpstr>oportunitats5_2020</vt:lpstr>
      <vt:lpstr>oportunitats5_2021</vt:lpstr>
      <vt:lpstr>oportunitats5_2022</vt:lpstr>
      <vt:lpstr>oportunitats5_2023</vt:lpstr>
      <vt:lpstr>oportunitats6_2016</vt:lpstr>
      <vt:lpstr>oportunitats6_2017</vt:lpstr>
      <vt:lpstr>oportunitats6_2018</vt:lpstr>
      <vt:lpstr>oportunitats6_2019</vt:lpstr>
      <vt:lpstr>oportunitats6_2020</vt:lpstr>
      <vt:lpstr>oportunitats6_2021</vt:lpstr>
      <vt:lpstr>oportunitats6_2022</vt:lpstr>
      <vt:lpstr>oportunitats6_2023</vt:lpstr>
      <vt:lpstr>oportunitats7_2016</vt:lpstr>
      <vt:lpstr>oportunitats7_2017</vt:lpstr>
      <vt:lpstr>oportunitats7_2018</vt:lpstr>
      <vt:lpstr>oportunitats7_2019</vt:lpstr>
      <vt:lpstr>oportunitats7_2020</vt:lpstr>
      <vt:lpstr>oportunitats7_2021</vt:lpstr>
      <vt:lpstr>oportunitats7_2022</vt:lpstr>
      <vt:lpstr>oportunitats7_2023</vt:lpstr>
      <vt:lpstr>oportunitats8_2016</vt:lpstr>
      <vt:lpstr>oportunitats8_2017</vt:lpstr>
      <vt:lpstr>oportunitats8_2018</vt:lpstr>
      <vt:lpstr>oportunitats8_2019</vt:lpstr>
      <vt:lpstr>oportunitats8_2020</vt:lpstr>
      <vt:lpstr>oportunitats8_2021</vt:lpstr>
      <vt:lpstr>oportunitats8_2022</vt:lpstr>
      <vt:lpstr>oportunitats8_2023</vt:lpstr>
      <vt:lpstr>oportunitats9_2016</vt:lpstr>
      <vt:lpstr>oportunitats9_2017</vt:lpstr>
      <vt:lpstr>oportunitats9_2018</vt:lpstr>
      <vt:lpstr>oportunitats9_2019</vt:lpstr>
      <vt:lpstr>oportunitats9_2020</vt:lpstr>
      <vt:lpstr>oportunitats9_2021</vt:lpstr>
      <vt:lpstr>oportunitats9_2022</vt:lpstr>
      <vt:lpstr>oportunitats9_2023</vt:lpstr>
      <vt:lpstr>oporunitats1_2016</vt:lpstr>
      <vt:lpstr>patents1_2016</vt:lpstr>
      <vt:lpstr>patents1_2017</vt:lpstr>
      <vt:lpstr>patents1_2018</vt:lpstr>
      <vt:lpstr>patents1_2019</vt:lpstr>
      <vt:lpstr>patents1_2020</vt:lpstr>
      <vt:lpstr>patents1_2021</vt:lpstr>
      <vt:lpstr>patents1_2022</vt:lpstr>
      <vt:lpstr>patents1_2023</vt:lpstr>
      <vt:lpstr>patents10_2016</vt:lpstr>
      <vt:lpstr>patents10_2017</vt:lpstr>
      <vt:lpstr>patents10_2018</vt:lpstr>
      <vt:lpstr>patents10_2019</vt:lpstr>
      <vt:lpstr>patents10_2020</vt:lpstr>
      <vt:lpstr>patents10_2021</vt:lpstr>
      <vt:lpstr>patents10_2022</vt:lpstr>
      <vt:lpstr>patents10_2023</vt:lpstr>
      <vt:lpstr>patents11_2016</vt:lpstr>
      <vt:lpstr>patents11_2017</vt:lpstr>
      <vt:lpstr>patents11_2018</vt:lpstr>
      <vt:lpstr>patents11_2019</vt:lpstr>
      <vt:lpstr>patents11_2020</vt:lpstr>
      <vt:lpstr>patents11_2021</vt:lpstr>
      <vt:lpstr>patents11_2022</vt:lpstr>
      <vt:lpstr>patents11_2023</vt:lpstr>
      <vt:lpstr>patents2_2016</vt:lpstr>
      <vt:lpstr>patents2_2017</vt:lpstr>
      <vt:lpstr>patents2_2018</vt:lpstr>
      <vt:lpstr>patents2_2019</vt:lpstr>
      <vt:lpstr>patents2_2020</vt:lpstr>
      <vt:lpstr>patents2_2021</vt:lpstr>
      <vt:lpstr>patents2_2022</vt:lpstr>
      <vt:lpstr>patents2_2023</vt:lpstr>
      <vt:lpstr>patents2016</vt:lpstr>
      <vt:lpstr>patents2017</vt:lpstr>
      <vt:lpstr>patents2018</vt:lpstr>
      <vt:lpstr>patents2019</vt:lpstr>
      <vt:lpstr>patents2020</vt:lpstr>
      <vt:lpstr>patents2021</vt:lpstr>
      <vt:lpstr>patents2022</vt:lpstr>
      <vt:lpstr>patents2023</vt:lpstr>
      <vt:lpstr>patents3_2016</vt:lpstr>
      <vt:lpstr>patents3_2017</vt:lpstr>
      <vt:lpstr>patents3_2018</vt:lpstr>
      <vt:lpstr>patents3_2019</vt:lpstr>
      <vt:lpstr>patents3_2020</vt:lpstr>
      <vt:lpstr>patents3_2021</vt:lpstr>
      <vt:lpstr>patents3_2022</vt:lpstr>
      <vt:lpstr>patents3_2023</vt:lpstr>
      <vt:lpstr>patents4_2016</vt:lpstr>
      <vt:lpstr>patents4_2017</vt:lpstr>
      <vt:lpstr>patents4_2018</vt:lpstr>
      <vt:lpstr>patents4_2019</vt:lpstr>
      <vt:lpstr>patents4_2020</vt:lpstr>
      <vt:lpstr>patents4_2021</vt:lpstr>
      <vt:lpstr>patents4_2022</vt:lpstr>
      <vt:lpstr>patents4_2023</vt:lpstr>
      <vt:lpstr>patents5_2016</vt:lpstr>
      <vt:lpstr>patents5_2017</vt:lpstr>
      <vt:lpstr>patents5_2018</vt:lpstr>
      <vt:lpstr>patents5_2019</vt:lpstr>
      <vt:lpstr>patents5_2020</vt:lpstr>
      <vt:lpstr>patents5_2021</vt:lpstr>
      <vt:lpstr>patents5_2022</vt:lpstr>
      <vt:lpstr>patents5_2023</vt:lpstr>
      <vt:lpstr>patents6_2016</vt:lpstr>
      <vt:lpstr>patents6_2017</vt:lpstr>
      <vt:lpstr>patents6_2018</vt:lpstr>
      <vt:lpstr>patents6_2019</vt:lpstr>
      <vt:lpstr>patents6_2020</vt:lpstr>
      <vt:lpstr>patents6_2021</vt:lpstr>
      <vt:lpstr>patents6_2022</vt:lpstr>
      <vt:lpstr>patents6_2023</vt:lpstr>
      <vt:lpstr>patents7_2016</vt:lpstr>
      <vt:lpstr>patents7_2017</vt:lpstr>
      <vt:lpstr>patents7_2018</vt:lpstr>
      <vt:lpstr>patents7_2019</vt:lpstr>
      <vt:lpstr>patents7_2020</vt:lpstr>
      <vt:lpstr>patents7_2021</vt:lpstr>
      <vt:lpstr>patents7_2022</vt:lpstr>
      <vt:lpstr>patents7_2023</vt:lpstr>
      <vt:lpstr>patents8_2016</vt:lpstr>
      <vt:lpstr>patents8_2017</vt:lpstr>
      <vt:lpstr>patents8_2018</vt:lpstr>
      <vt:lpstr>patents8_2019</vt:lpstr>
      <vt:lpstr>patents8_2020</vt:lpstr>
      <vt:lpstr>patents8_2021</vt:lpstr>
      <vt:lpstr>patents8_2022</vt:lpstr>
      <vt:lpstr>patents8_2023</vt:lpstr>
      <vt:lpstr>patents9_2016</vt:lpstr>
      <vt:lpstr>patents9_2017</vt:lpstr>
      <vt:lpstr>patents9_2018</vt:lpstr>
      <vt:lpstr>patents9_2019</vt:lpstr>
      <vt:lpstr>patents9_2020</vt:lpstr>
      <vt:lpstr>patents9_2021</vt:lpstr>
      <vt:lpstr>patents9_2022</vt:lpstr>
      <vt:lpstr>patents9_2023</vt:lpstr>
      <vt:lpstr>productivitat1_2016</vt:lpstr>
      <vt:lpstr>productivitat1_2017</vt:lpstr>
      <vt:lpstr>productivitat1_2018</vt:lpstr>
      <vt:lpstr>productivitat1_2019</vt:lpstr>
      <vt:lpstr>productivitat1_2020</vt:lpstr>
      <vt:lpstr>productivitat1_2021</vt:lpstr>
      <vt:lpstr>productivitat1_2022</vt:lpstr>
      <vt:lpstr>productivitat1_2023</vt:lpstr>
      <vt:lpstr>productivitat10_2016</vt:lpstr>
      <vt:lpstr>productivitat10_2017</vt:lpstr>
      <vt:lpstr>productivitat10_2018</vt:lpstr>
      <vt:lpstr>productivitat10_2019</vt:lpstr>
      <vt:lpstr>productivitat10_2020</vt:lpstr>
      <vt:lpstr>productivitat10_2021</vt:lpstr>
      <vt:lpstr>productivitat10_2022</vt:lpstr>
      <vt:lpstr>productivitat10_2023</vt:lpstr>
      <vt:lpstr>productivitat11_2016</vt:lpstr>
      <vt:lpstr>productivitat11_2017</vt:lpstr>
      <vt:lpstr>productivitat11_2018</vt:lpstr>
      <vt:lpstr>productivitat11_2019</vt:lpstr>
      <vt:lpstr>productivitat11_2020</vt:lpstr>
      <vt:lpstr>productivitat11_2021</vt:lpstr>
      <vt:lpstr>productivitat11_2022</vt:lpstr>
      <vt:lpstr>productivitat11_2023</vt:lpstr>
      <vt:lpstr>productivitat2_2016</vt:lpstr>
      <vt:lpstr>productivitat2_2017</vt:lpstr>
      <vt:lpstr>productivitat2_2018</vt:lpstr>
      <vt:lpstr>productivitat2_2019</vt:lpstr>
      <vt:lpstr>productivitat2_2020</vt:lpstr>
      <vt:lpstr>productivitat2_2021</vt:lpstr>
      <vt:lpstr>productivitat2_2022</vt:lpstr>
      <vt:lpstr>productivitat2_2023</vt:lpstr>
      <vt:lpstr>productivitat2016</vt:lpstr>
      <vt:lpstr>productivitat2017</vt:lpstr>
      <vt:lpstr>productivitat2018</vt:lpstr>
      <vt:lpstr>productivitat2019</vt:lpstr>
      <vt:lpstr>productivitat2020</vt:lpstr>
      <vt:lpstr>productivitat2021</vt:lpstr>
      <vt:lpstr>productivitat2022</vt:lpstr>
      <vt:lpstr>productivitat2023</vt:lpstr>
      <vt:lpstr>productivitat3_2016</vt:lpstr>
      <vt:lpstr>productivitat3_2017</vt:lpstr>
      <vt:lpstr>productivitat3_2018</vt:lpstr>
      <vt:lpstr>productivitat3_2019</vt:lpstr>
      <vt:lpstr>productivitat3_2020</vt:lpstr>
      <vt:lpstr>productivitat3_2021</vt:lpstr>
      <vt:lpstr>productivitat3_2022</vt:lpstr>
      <vt:lpstr>productivitat3_2023</vt:lpstr>
      <vt:lpstr>productivitat4_2016</vt:lpstr>
      <vt:lpstr>productivitat4_2017</vt:lpstr>
      <vt:lpstr>productivitat4_2018</vt:lpstr>
      <vt:lpstr>productivitat4_2019</vt:lpstr>
      <vt:lpstr>productivitat4_2020</vt:lpstr>
      <vt:lpstr>productivitat4_2021</vt:lpstr>
      <vt:lpstr>productivitat4_2022</vt:lpstr>
      <vt:lpstr>productivitat4_2023</vt:lpstr>
      <vt:lpstr>productivitat5_2016</vt:lpstr>
      <vt:lpstr>productivitat5_2017</vt:lpstr>
      <vt:lpstr>productivitat5_2018</vt:lpstr>
      <vt:lpstr>productivitat5_2019</vt:lpstr>
      <vt:lpstr>productivitat5_2020</vt:lpstr>
      <vt:lpstr>productivitat5_2021</vt:lpstr>
      <vt:lpstr>productivitat5_2022</vt:lpstr>
      <vt:lpstr>productivitat5_2023</vt:lpstr>
      <vt:lpstr>productivitat6_2016</vt:lpstr>
      <vt:lpstr>productivitat6_2017</vt:lpstr>
      <vt:lpstr>productivitat6_2018</vt:lpstr>
      <vt:lpstr>productivitat6_2019</vt:lpstr>
      <vt:lpstr>productivitat6_2020</vt:lpstr>
      <vt:lpstr>productivitat6_2021</vt:lpstr>
      <vt:lpstr>productivitat6_2022</vt:lpstr>
      <vt:lpstr>productivitat6_2023</vt:lpstr>
      <vt:lpstr>productivitat7_2016</vt:lpstr>
      <vt:lpstr>productivitat7_2017</vt:lpstr>
      <vt:lpstr>productivitat7_2018</vt:lpstr>
      <vt:lpstr>productivitat7_2019</vt:lpstr>
      <vt:lpstr>productivitat7_2020</vt:lpstr>
      <vt:lpstr>productivitat7_2021</vt:lpstr>
      <vt:lpstr>productivitat7_2022</vt:lpstr>
      <vt:lpstr>productivitat7_2023</vt:lpstr>
      <vt:lpstr>productivitat8_2016</vt:lpstr>
      <vt:lpstr>productivitat8_2017</vt:lpstr>
      <vt:lpstr>productivitat8_2018</vt:lpstr>
      <vt:lpstr>productivitat8_2019</vt:lpstr>
      <vt:lpstr>productivitat8_2020</vt:lpstr>
      <vt:lpstr>productivitat8_2021</vt:lpstr>
      <vt:lpstr>productivitat8_2022</vt:lpstr>
      <vt:lpstr>productivitat8_2023</vt:lpstr>
      <vt:lpstr>productivitat9_2016</vt:lpstr>
      <vt:lpstr>productivitat9_2017</vt:lpstr>
      <vt:lpstr>productivitat9_2018</vt:lpstr>
      <vt:lpstr>productivitat9_2019</vt:lpstr>
      <vt:lpstr>productivitat9_2020</vt:lpstr>
      <vt:lpstr>productivitat9_2021</vt:lpstr>
      <vt:lpstr>productivitat9_2022</vt:lpstr>
      <vt:lpstr>productivitat9_2023</vt:lpstr>
      <vt:lpstr>residus1_2016</vt:lpstr>
      <vt:lpstr>residus1_2017</vt:lpstr>
      <vt:lpstr>residus1_2018</vt:lpstr>
      <vt:lpstr>residus1_2019</vt:lpstr>
      <vt:lpstr>residus1_2020</vt:lpstr>
      <vt:lpstr>residus1_2021</vt:lpstr>
      <vt:lpstr>residus1_2022</vt:lpstr>
      <vt:lpstr>residus1_2023</vt:lpstr>
      <vt:lpstr>residus10_2016</vt:lpstr>
      <vt:lpstr>residus10_2017</vt:lpstr>
      <vt:lpstr>residus10_2018</vt:lpstr>
      <vt:lpstr>residus10_2019</vt:lpstr>
      <vt:lpstr>residus10_2020</vt:lpstr>
      <vt:lpstr>residus10_2021</vt:lpstr>
      <vt:lpstr>residus10_2022</vt:lpstr>
      <vt:lpstr>residus10_2023</vt:lpstr>
      <vt:lpstr>residus11_2016</vt:lpstr>
      <vt:lpstr>residus11_2017</vt:lpstr>
      <vt:lpstr>residus11_2018</vt:lpstr>
      <vt:lpstr>residus11_2019</vt:lpstr>
      <vt:lpstr>residus11_2020</vt:lpstr>
      <vt:lpstr>residus11_2021</vt:lpstr>
      <vt:lpstr>residus11_2022</vt:lpstr>
      <vt:lpstr>residus11_2023</vt:lpstr>
      <vt:lpstr>residus2_2016</vt:lpstr>
      <vt:lpstr>residus2_2017</vt:lpstr>
      <vt:lpstr>residus2_2018</vt:lpstr>
      <vt:lpstr>residus2_2019</vt:lpstr>
      <vt:lpstr>residus2_2020</vt:lpstr>
      <vt:lpstr>residus2_2021</vt:lpstr>
      <vt:lpstr>residus2_2022</vt:lpstr>
      <vt:lpstr>residus2_2023</vt:lpstr>
      <vt:lpstr>residus2016</vt:lpstr>
      <vt:lpstr>residus2017</vt:lpstr>
      <vt:lpstr>residus2018</vt:lpstr>
      <vt:lpstr>residus2019</vt:lpstr>
      <vt:lpstr>residus2020</vt:lpstr>
      <vt:lpstr>residus2021</vt:lpstr>
      <vt:lpstr>residus2022</vt:lpstr>
      <vt:lpstr>residus2023</vt:lpstr>
      <vt:lpstr>residus3_2016</vt:lpstr>
      <vt:lpstr>residus3_2017</vt:lpstr>
      <vt:lpstr>residus3_2018</vt:lpstr>
      <vt:lpstr>residus3_2019</vt:lpstr>
      <vt:lpstr>residus3_2020</vt:lpstr>
      <vt:lpstr>residus3_2021</vt:lpstr>
      <vt:lpstr>residus3_2022</vt:lpstr>
      <vt:lpstr>residus3_2023</vt:lpstr>
      <vt:lpstr>residus4_2016</vt:lpstr>
      <vt:lpstr>residus4_2017</vt:lpstr>
      <vt:lpstr>residus4_2018</vt:lpstr>
      <vt:lpstr>residus4_2019</vt:lpstr>
      <vt:lpstr>residus4_2020</vt:lpstr>
      <vt:lpstr>residus4_2021</vt:lpstr>
      <vt:lpstr>residus4_2022</vt:lpstr>
      <vt:lpstr>residus4_2023</vt:lpstr>
      <vt:lpstr>residus5_2016</vt:lpstr>
      <vt:lpstr>residus5_2017</vt:lpstr>
      <vt:lpstr>residus5_2018</vt:lpstr>
      <vt:lpstr>residus5_2019</vt:lpstr>
      <vt:lpstr>residus5_2020</vt:lpstr>
      <vt:lpstr>residus5_2021</vt:lpstr>
      <vt:lpstr>residus5_2022</vt:lpstr>
      <vt:lpstr>residus5_2023</vt:lpstr>
      <vt:lpstr>residus6_2016</vt:lpstr>
      <vt:lpstr>residus6_2017</vt:lpstr>
      <vt:lpstr>residus6_2018</vt:lpstr>
      <vt:lpstr>residus6_2019</vt:lpstr>
      <vt:lpstr>residus6_2020</vt:lpstr>
      <vt:lpstr>residus6_2021</vt:lpstr>
      <vt:lpstr>residus6_2022</vt:lpstr>
      <vt:lpstr>residus6_2023</vt:lpstr>
      <vt:lpstr>residus7_2016</vt:lpstr>
      <vt:lpstr>residus7_2017</vt:lpstr>
      <vt:lpstr>residus7_2018</vt:lpstr>
      <vt:lpstr>residus7_2019</vt:lpstr>
      <vt:lpstr>residus7_2020</vt:lpstr>
      <vt:lpstr>residus7_2021</vt:lpstr>
      <vt:lpstr>residus7_2022</vt:lpstr>
      <vt:lpstr>residus7_2023</vt:lpstr>
      <vt:lpstr>residus8_2016</vt:lpstr>
      <vt:lpstr>residus8_2017</vt:lpstr>
      <vt:lpstr>residus8_2018</vt:lpstr>
      <vt:lpstr>residus8_2019</vt:lpstr>
      <vt:lpstr>residus8_2020</vt:lpstr>
      <vt:lpstr>residus8_2021</vt:lpstr>
      <vt:lpstr>residus8_2022</vt:lpstr>
      <vt:lpstr>residus8_2023</vt:lpstr>
      <vt:lpstr>residus9_2016</vt:lpstr>
      <vt:lpstr>residus9_2017</vt:lpstr>
      <vt:lpstr>residus9_2018</vt:lpstr>
      <vt:lpstr>residus9_2019</vt:lpstr>
      <vt:lpstr>residus9_2020</vt:lpstr>
      <vt:lpstr>residus9_2021</vt:lpstr>
      <vt:lpstr>residus9_2022</vt:lpstr>
      <vt:lpstr>residus9_2023</vt:lpstr>
      <vt:lpstr>spinoff1_2016</vt:lpstr>
      <vt:lpstr>spinoff1_2017</vt:lpstr>
      <vt:lpstr>spinoff1_2018</vt:lpstr>
      <vt:lpstr>spinoff1_2019</vt:lpstr>
      <vt:lpstr>spinoff1_2020</vt:lpstr>
      <vt:lpstr>spinoff1_2021</vt:lpstr>
      <vt:lpstr>spinoff1_2022</vt:lpstr>
      <vt:lpstr>spinoff1_2023</vt:lpstr>
      <vt:lpstr>spinoff1_2024</vt:lpstr>
      <vt:lpstr>spinoff10_2016</vt:lpstr>
      <vt:lpstr>spinoff10_2017</vt:lpstr>
      <vt:lpstr>spinoff10_2018</vt:lpstr>
      <vt:lpstr>spinoff10_2019</vt:lpstr>
      <vt:lpstr>spinoff10_2020</vt:lpstr>
      <vt:lpstr>spinoff10_2021</vt:lpstr>
      <vt:lpstr>spinoff10_2022</vt:lpstr>
      <vt:lpstr>spinoff10_2023</vt:lpstr>
      <vt:lpstr>spinoff11_2016</vt:lpstr>
      <vt:lpstr>spinoff11_2017</vt:lpstr>
      <vt:lpstr>spinoff11_2018</vt:lpstr>
      <vt:lpstr>spinoff11_2019</vt:lpstr>
      <vt:lpstr>spinoff11_2020</vt:lpstr>
      <vt:lpstr>spinoff11_2021</vt:lpstr>
      <vt:lpstr>spinoff11_2022</vt:lpstr>
      <vt:lpstr>spinoff11_2023</vt:lpstr>
      <vt:lpstr>spinoff2_2016</vt:lpstr>
      <vt:lpstr>spinoff2_2017</vt:lpstr>
      <vt:lpstr>spinoff2_2018</vt:lpstr>
      <vt:lpstr>spinoff2_2019</vt:lpstr>
      <vt:lpstr>spinoff2_2020</vt:lpstr>
      <vt:lpstr>spinoff2_2021</vt:lpstr>
      <vt:lpstr>spinoff2_2022</vt:lpstr>
      <vt:lpstr>spinoff2_2023</vt:lpstr>
      <vt:lpstr>spinoff2016</vt:lpstr>
      <vt:lpstr>spinoff2017</vt:lpstr>
      <vt:lpstr>spinoff2018</vt:lpstr>
      <vt:lpstr>spinoff2019</vt:lpstr>
      <vt:lpstr>spinoff2020</vt:lpstr>
      <vt:lpstr>spinoff2021</vt:lpstr>
      <vt:lpstr>spinoff2022</vt:lpstr>
      <vt:lpstr>spinoff2023</vt:lpstr>
      <vt:lpstr>spinoff3_2016</vt:lpstr>
      <vt:lpstr>spinoff3_2017</vt:lpstr>
      <vt:lpstr>spinoff3_2018</vt:lpstr>
      <vt:lpstr>spinoff3_2019</vt:lpstr>
      <vt:lpstr>spinoff3_2020</vt:lpstr>
      <vt:lpstr>spinoff3_2021</vt:lpstr>
      <vt:lpstr>spinoff3_2022</vt:lpstr>
      <vt:lpstr>spinoff3_2023</vt:lpstr>
      <vt:lpstr>spinoff4_2016</vt:lpstr>
      <vt:lpstr>spinoff4_2017</vt:lpstr>
      <vt:lpstr>spinoff4_2018</vt:lpstr>
      <vt:lpstr>spinoff4_2019</vt:lpstr>
      <vt:lpstr>spinoff4_2020</vt:lpstr>
      <vt:lpstr>spinoff4_2021</vt:lpstr>
      <vt:lpstr>spinoff4_2022</vt:lpstr>
      <vt:lpstr>spinoff4_2023</vt:lpstr>
      <vt:lpstr>spinoff5_2016</vt:lpstr>
      <vt:lpstr>spinoff5_2017</vt:lpstr>
      <vt:lpstr>spinoff5_2018</vt:lpstr>
      <vt:lpstr>spinoff5_2019</vt:lpstr>
      <vt:lpstr>spinoff5_2020</vt:lpstr>
      <vt:lpstr>spinoff5_2021</vt:lpstr>
      <vt:lpstr>spinoff5_2022</vt:lpstr>
      <vt:lpstr>spinoff5_2023</vt:lpstr>
      <vt:lpstr>spinoff6_2016</vt:lpstr>
      <vt:lpstr>spinoff6_2017</vt:lpstr>
      <vt:lpstr>spinoff6_2018</vt:lpstr>
      <vt:lpstr>spinoff6_2019</vt:lpstr>
      <vt:lpstr>spinoff6_2020</vt:lpstr>
      <vt:lpstr>spinoff6_2021</vt:lpstr>
      <vt:lpstr>spinoff6_2022</vt:lpstr>
      <vt:lpstr>spinoff6_2023</vt:lpstr>
      <vt:lpstr>spinoff7_2016</vt:lpstr>
      <vt:lpstr>spinoff7_2017</vt:lpstr>
      <vt:lpstr>spinoff7_2018</vt:lpstr>
      <vt:lpstr>spinoff7_2019</vt:lpstr>
      <vt:lpstr>spinoff7_2020</vt:lpstr>
      <vt:lpstr>spinoff7_2021</vt:lpstr>
      <vt:lpstr>spinoff7_2022</vt:lpstr>
      <vt:lpstr>spinoff7_2023</vt:lpstr>
      <vt:lpstr>spinoff8_2016</vt:lpstr>
      <vt:lpstr>spinoff8_2017</vt:lpstr>
      <vt:lpstr>spinoff8_2018</vt:lpstr>
      <vt:lpstr>spinoff8_2019</vt:lpstr>
      <vt:lpstr>spinoff8_2020</vt:lpstr>
      <vt:lpstr>spinoff8_2021</vt:lpstr>
      <vt:lpstr>spinoff8_2022</vt:lpstr>
      <vt:lpstr>spinoff8_2023</vt:lpstr>
      <vt:lpstr>spinoff9_2016</vt:lpstr>
      <vt:lpstr>spinoff9_2017</vt:lpstr>
      <vt:lpstr>spinoff9_2018</vt:lpstr>
      <vt:lpstr>spinoff9_2019</vt:lpstr>
      <vt:lpstr>spinoff9_2020</vt:lpstr>
      <vt:lpstr>spinoff9_2021</vt:lpstr>
      <vt:lpstr>spinoff9_2022</vt:lpstr>
      <vt:lpstr>spinoff9_2023</vt:lpstr>
      <vt:lpstr>subvencions1_2016</vt:lpstr>
      <vt:lpstr>subvencions1_2017</vt:lpstr>
      <vt:lpstr>subvencions1_2018</vt:lpstr>
      <vt:lpstr>subvencions1_2019</vt:lpstr>
      <vt:lpstr>subvencions1_2020</vt:lpstr>
      <vt:lpstr>subvencions1_2021</vt:lpstr>
      <vt:lpstr>subvencions1_2022</vt:lpstr>
      <vt:lpstr>subvencions1_2023</vt:lpstr>
      <vt:lpstr>subvencions10_2016</vt:lpstr>
      <vt:lpstr>subvencions10_2017</vt:lpstr>
      <vt:lpstr>subvencions10_2018</vt:lpstr>
      <vt:lpstr>subvencions10_2019</vt:lpstr>
      <vt:lpstr>subvencions10_2020</vt:lpstr>
      <vt:lpstr>subvencions10_2021</vt:lpstr>
      <vt:lpstr>subvencions10_2022</vt:lpstr>
      <vt:lpstr>subvencions10_2023</vt:lpstr>
      <vt:lpstr>subvencions11_2016</vt:lpstr>
      <vt:lpstr>subvencions11_2017</vt:lpstr>
      <vt:lpstr>subvencions11_2018</vt:lpstr>
      <vt:lpstr>subvencions11_2019</vt:lpstr>
      <vt:lpstr>subvencions11_2020</vt:lpstr>
      <vt:lpstr>subvencions11_2021</vt:lpstr>
      <vt:lpstr>subvencions11_2022</vt:lpstr>
      <vt:lpstr>subvencions11_2023</vt:lpstr>
      <vt:lpstr>subvencions2_2016</vt:lpstr>
      <vt:lpstr>subvencions2_2017</vt:lpstr>
      <vt:lpstr>subvencions2_2018</vt:lpstr>
      <vt:lpstr>subvencions2_2019</vt:lpstr>
      <vt:lpstr>subvencions2_2020</vt:lpstr>
      <vt:lpstr>subvencions2_2021</vt:lpstr>
      <vt:lpstr>subvencions2_2022</vt:lpstr>
      <vt:lpstr>subvencions2_2023</vt:lpstr>
      <vt:lpstr>subvencions2016</vt:lpstr>
      <vt:lpstr>subvencions2017</vt:lpstr>
      <vt:lpstr>subvencions2018</vt:lpstr>
      <vt:lpstr>subvencions2019</vt:lpstr>
      <vt:lpstr>subvencions2020</vt:lpstr>
      <vt:lpstr>subvencions2021</vt:lpstr>
      <vt:lpstr>subvencions2022</vt:lpstr>
      <vt:lpstr>subvencions2023</vt:lpstr>
      <vt:lpstr>subvencions3_2016</vt:lpstr>
      <vt:lpstr>subvencions3_2017</vt:lpstr>
      <vt:lpstr>subvencions3_2018</vt:lpstr>
      <vt:lpstr>subvencions3_2019</vt:lpstr>
      <vt:lpstr>subvencions3_2020</vt:lpstr>
      <vt:lpstr>subvencions3_2021</vt:lpstr>
      <vt:lpstr>subvencions3_2022</vt:lpstr>
      <vt:lpstr>subvencions3_2023</vt:lpstr>
      <vt:lpstr>subvencions4_2016</vt:lpstr>
      <vt:lpstr>subvencions4_2017</vt:lpstr>
      <vt:lpstr>subvencions4_2018</vt:lpstr>
      <vt:lpstr>subvencions4_2019</vt:lpstr>
      <vt:lpstr>subvencions4_2020</vt:lpstr>
      <vt:lpstr>subvencions4_2021</vt:lpstr>
      <vt:lpstr>subvencions4_2022</vt:lpstr>
      <vt:lpstr>subvencions4_2023</vt:lpstr>
      <vt:lpstr>subvencions5_2016</vt:lpstr>
      <vt:lpstr>subvencions5_2017</vt:lpstr>
      <vt:lpstr>subvencions5_2018</vt:lpstr>
      <vt:lpstr>subvencions5_2019</vt:lpstr>
      <vt:lpstr>subvencions5_2020</vt:lpstr>
      <vt:lpstr>subvencions5_2021</vt:lpstr>
      <vt:lpstr>subvencions5_2022</vt:lpstr>
      <vt:lpstr>subvencions5_2023</vt:lpstr>
      <vt:lpstr>subvencions6_2016</vt:lpstr>
      <vt:lpstr>subvencions6_2017</vt:lpstr>
      <vt:lpstr>subvencions6_2018</vt:lpstr>
      <vt:lpstr>subvencions6_2019</vt:lpstr>
      <vt:lpstr>subvencions6_2020</vt:lpstr>
      <vt:lpstr>subvencions6_2021</vt:lpstr>
      <vt:lpstr>subvencions6_2022</vt:lpstr>
      <vt:lpstr>subvencions6_2023</vt:lpstr>
      <vt:lpstr>subvencions7_2016</vt:lpstr>
      <vt:lpstr>subvencions7_2017</vt:lpstr>
      <vt:lpstr>subvencions7_2018</vt:lpstr>
      <vt:lpstr>subvencions7_2019</vt:lpstr>
      <vt:lpstr>subvencions7_2020</vt:lpstr>
      <vt:lpstr>subvencions7_2021</vt:lpstr>
      <vt:lpstr>subvencions7_2022</vt:lpstr>
      <vt:lpstr>subvencions7_2023</vt:lpstr>
      <vt:lpstr>subvencions8_2016</vt:lpstr>
      <vt:lpstr>subvencions8_2017</vt:lpstr>
      <vt:lpstr>subvencions8_2018</vt:lpstr>
      <vt:lpstr>subvencions8_2019</vt:lpstr>
      <vt:lpstr>subvencions8_2020</vt:lpstr>
      <vt:lpstr>subvencions8_2021</vt:lpstr>
      <vt:lpstr>subvencions8_2022</vt:lpstr>
      <vt:lpstr>subvencions8_2023</vt:lpstr>
      <vt:lpstr>subvencions9_2016</vt:lpstr>
      <vt:lpstr>subvencions9_2017</vt:lpstr>
      <vt:lpstr>subvencions9_2018</vt:lpstr>
      <vt:lpstr>subvencions9_2019</vt:lpstr>
      <vt:lpstr>subvencions9_2020</vt:lpstr>
      <vt:lpstr>subvencions9_2021</vt:lpstr>
      <vt:lpstr>subvencions9_2022</vt:lpstr>
      <vt:lpstr>subvencions9_2023</vt:lpstr>
      <vt:lpstr>universitats1_2016</vt:lpstr>
      <vt:lpstr>universitats1_2017</vt:lpstr>
      <vt:lpstr>universitats1_2018</vt:lpstr>
      <vt:lpstr>universitats1_2019</vt:lpstr>
      <vt:lpstr>universitats1_2020</vt:lpstr>
      <vt:lpstr>universitats1_2021</vt:lpstr>
      <vt:lpstr>universitats1_2022</vt:lpstr>
      <vt:lpstr>universitats1_2023</vt:lpstr>
      <vt:lpstr>universitats10_2016</vt:lpstr>
      <vt:lpstr>universitats10_2017</vt:lpstr>
      <vt:lpstr>universitats10_2018</vt:lpstr>
      <vt:lpstr>universitats10_2019</vt:lpstr>
      <vt:lpstr>universitats10_2020</vt:lpstr>
      <vt:lpstr>universitats10_2021</vt:lpstr>
      <vt:lpstr>universitats10_2022</vt:lpstr>
      <vt:lpstr>universitats10_2023</vt:lpstr>
      <vt:lpstr>universitats11_2016</vt:lpstr>
      <vt:lpstr>universitats11_2017</vt:lpstr>
      <vt:lpstr>universitats11_2018</vt:lpstr>
      <vt:lpstr>universitats11_2019</vt:lpstr>
      <vt:lpstr>universitats11_2020</vt:lpstr>
      <vt:lpstr>universitats11_2021</vt:lpstr>
      <vt:lpstr>universitats11_2022</vt:lpstr>
      <vt:lpstr>universitats11_2023</vt:lpstr>
      <vt:lpstr>universitats2_2016</vt:lpstr>
      <vt:lpstr>universitats2_2017</vt:lpstr>
      <vt:lpstr>universitats2_2018</vt:lpstr>
      <vt:lpstr>universitats2_2019</vt:lpstr>
      <vt:lpstr>universitats2_2020</vt:lpstr>
      <vt:lpstr>universitats2_2021</vt:lpstr>
      <vt:lpstr>universitats2_2022</vt:lpstr>
      <vt:lpstr>universitats2_2023</vt:lpstr>
      <vt:lpstr>universitats2016</vt:lpstr>
      <vt:lpstr>universitats2017</vt:lpstr>
      <vt:lpstr>universitats2018</vt:lpstr>
      <vt:lpstr>universitats2019</vt:lpstr>
      <vt:lpstr>universitats2020</vt:lpstr>
      <vt:lpstr>universitats2021</vt:lpstr>
      <vt:lpstr>universitats2022</vt:lpstr>
      <vt:lpstr>universitats2023</vt:lpstr>
      <vt:lpstr>universitats3_2016</vt:lpstr>
      <vt:lpstr>universitats3_2017</vt:lpstr>
      <vt:lpstr>universitats3_2018</vt:lpstr>
      <vt:lpstr>universitats3_2019</vt:lpstr>
      <vt:lpstr>universitats3_2020</vt:lpstr>
      <vt:lpstr>universitats3_2021</vt:lpstr>
      <vt:lpstr>universitats3_2022</vt:lpstr>
      <vt:lpstr>universitats3_2023</vt:lpstr>
      <vt:lpstr>universitats4_2016</vt:lpstr>
      <vt:lpstr>universitats4_2017</vt:lpstr>
      <vt:lpstr>universitats4_2018</vt:lpstr>
      <vt:lpstr>universitats4_2019</vt:lpstr>
      <vt:lpstr>universitats4_2020</vt:lpstr>
      <vt:lpstr>universitats4_2021</vt:lpstr>
      <vt:lpstr>universitats4_2022</vt:lpstr>
      <vt:lpstr>universitats4_2023</vt:lpstr>
      <vt:lpstr>universitats5_2016</vt:lpstr>
      <vt:lpstr>universitats5_2017</vt:lpstr>
      <vt:lpstr>universitats5_2018</vt:lpstr>
      <vt:lpstr>universitats5_2019</vt:lpstr>
      <vt:lpstr>universitats5_2020</vt:lpstr>
      <vt:lpstr>universitats5_2021</vt:lpstr>
      <vt:lpstr>universitats5_2022</vt:lpstr>
      <vt:lpstr>universitats5_2023</vt:lpstr>
      <vt:lpstr>universitats6_2016</vt:lpstr>
      <vt:lpstr>universitats6_2017</vt:lpstr>
      <vt:lpstr>universitats6_2018</vt:lpstr>
      <vt:lpstr>universitats6_2019</vt:lpstr>
      <vt:lpstr>universitats6_2020</vt:lpstr>
      <vt:lpstr>universitats6_2021</vt:lpstr>
      <vt:lpstr>universitats6_2022</vt:lpstr>
      <vt:lpstr>universitats6_2023</vt:lpstr>
      <vt:lpstr>universitats7_2016</vt:lpstr>
      <vt:lpstr>universitats7_2017</vt:lpstr>
      <vt:lpstr>universitats7_2018</vt:lpstr>
      <vt:lpstr>universitats7_2019</vt:lpstr>
      <vt:lpstr>universitats7_2020</vt:lpstr>
      <vt:lpstr>universitats7_2021</vt:lpstr>
      <vt:lpstr>universitats7_2022</vt:lpstr>
      <vt:lpstr>universitats7_2023</vt:lpstr>
      <vt:lpstr>universitats8_2016</vt:lpstr>
      <vt:lpstr>universitats8_2017</vt:lpstr>
      <vt:lpstr>universitats8_2018</vt:lpstr>
      <vt:lpstr>universitats8_2019</vt:lpstr>
      <vt:lpstr>universitats8_2020</vt:lpstr>
      <vt:lpstr>universitats8_2021</vt:lpstr>
      <vt:lpstr>universitats8_2022</vt:lpstr>
      <vt:lpstr>universitats8_2023</vt:lpstr>
      <vt:lpstr>universitats9_2016</vt:lpstr>
      <vt:lpstr>universitats9_2017</vt:lpstr>
      <vt:lpstr>universitats9_2018</vt:lpstr>
      <vt:lpstr>universitats9_2019</vt:lpstr>
      <vt:lpstr>universitats9_2020</vt:lpstr>
      <vt:lpstr>universitats9_2021</vt:lpstr>
      <vt:lpstr>universitats9_2022</vt:lpstr>
      <vt:lpstr>universitats9_2023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 Raurell</dc:creator>
  <cp:lastModifiedBy>Mireia Raurell</cp:lastModifiedBy>
  <cp:lastPrinted>2018-02-20T09:12:58Z</cp:lastPrinted>
  <dcterms:created xsi:type="dcterms:W3CDTF">2018-02-05T08:56:26Z</dcterms:created>
  <dcterms:modified xsi:type="dcterms:W3CDTF">2020-02-27T09:13:59Z</dcterms:modified>
</cp:coreProperties>
</file>