
<file path=[Content_Types].xml><?xml version="1.0" encoding="utf-8"?>
<Types xmlns="http://schemas.openxmlformats.org/package/2006/content-types">
  <Default Extension="bin" ContentType="application/vnd.openxmlformats-officedocument.oleObject"/>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comments1.xml" ContentType="application/vnd.openxmlformats-officedocument.spreadsheetml.comments+xml"/>
  <Override PartName="/xl/printerSettings/printerSettings5.bin" ContentType="application/vnd.openxmlformats-officedocument.spreadsheetml.printerSettings"/>
  <Override PartName="/xl/comments2.xml" ContentType="application/vnd.openxmlformats-officedocument.spreadsheetml.comments+xml"/>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AquestLlibreDeTreball" defaultThemeVersion="124226"/>
  <mc:AlternateContent xmlns:mc="http://schemas.openxmlformats.org/markup-compatibility/2006">
    <mc:Choice Requires="x15">
      <x15ac:absPath xmlns:x15ac="http://schemas.microsoft.com/office/spreadsheetml/2010/11/ac" url="G:\qtU03010\Secció MTD\MTD-MTD\BREFs i documents relacionats\Ramaderia intensiva\10-CALCULADORA EMISSIONS\4. DARRERA VERSIO\"/>
    </mc:Choice>
  </mc:AlternateContent>
  <workbookProtection workbookAlgorithmName="SHA-512" workbookHashValue="t0stpw0EeSwkaSTcWzBuizNdh9+vPMkNWbKbxSwfk6VvMDOyoUMQXciJkGyuybMbqSPMTFSiPMTa18gSukssgQ==" workbookSaltValue="jubAS6xwsgI+AB/OOG+dkg==" workbookSpinCount="100000" lockStructure="1"/>
  <bookViews>
    <workbookView xWindow="0" yWindow="0" windowWidth="28800" windowHeight="12396" tabRatio="661"/>
  </bookViews>
  <sheets>
    <sheet name="Instruccions" sheetId="51" r:id="rId1"/>
    <sheet name="Dades_Id_expl" sheetId="50" r:id="rId2"/>
    <sheet name="Dades" sheetId="40" r:id="rId3"/>
    <sheet name="Resultats" sheetId="46" r:id="rId4"/>
    <sheet name="Càlculs" sheetId="34" r:id="rId5"/>
    <sheet name="F.Emissió" sheetId="35" r:id="rId6"/>
    <sheet name="F.Distribució" sheetId="41" r:id="rId7"/>
    <sheet name="Coeficients reducció" sheetId="49" r:id="rId8"/>
  </sheets>
  <definedNames>
    <definedName name="_xlnm._FilterDatabase" localSheetId="7" hidden="1">'Coeficients reducció'!$A$1:$H$24</definedName>
    <definedName name="A_almacenamiento" comment="Destino de los purines">Dades!$K$8</definedName>
    <definedName name="A_emmagatzematge" localSheetId="2">Dades!$K$8</definedName>
    <definedName name="_xlnm.Print_Area" localSheetId="3">Resultats!$A$1:$I$28</definedName>
  </definedNames>
  <calcPr calcId="162913"/>
</workbook>
</file>

<file path=xl/calcChain.xml><?xml version="1.0" encoding="utf-8"?>
<calcChain xmlns="http://schemas.openxmlformats.org/spreadsheetml/2006/main">
  <c r="D2" i="40" l="1"/>
  <c r="E2" i="40" s="1"/>
  <c r="D1" i="40"/>
  <c r="E1" i="40" s="1"/>
  <c r="H32" i="35" l="1"/>
  <c r="H33" i="35"/>
  <c r="H34" i="35"/>
  <c r="H35" i="35"/>
  <c r="H36" i="35"/>
  <c r="H37" i="35"/>
  <c r="H38" i="35"/>
  <c r="H39" i="35" l="1"/>
  <c r="C13" i="41" l="1"/>
  <c r="G13" i="41"/>
  <c r="J13" i="41"/>
  <c r="K13" i="41"/>
  <c r="N13" i="41" s="1"/>
  <c r="L13" i="41"/>
  <c r="M13" i="41"/>
  <c r="O13" i="41"/>
  <c r="R13" i="41" s="1"/>
  <c r="P13" i="41"/>
  <c r="Q13" i="41"/>
  <c r="S13" i="41"/>
  <c r="T13" i="41"/>
  <c r="C14" i="41"/>
  <c r="F14" i="41"/>
  <c r="G14" i="41" s="1"/>
  <c r="J14" i="41"/>
  <c r="K14" i="41"/>
  <c r="L14" i="41"/>
  <c r="M14" i="41"/>
  <c r="O14" i="41"/>
  <c r="P14" i="41"/>
  <c r="Q14" i="41"/>
  <c r="S14" i="41"/>
  <c r="T14" i="41"/>
  <c r="C15" i="41"/>
  <c r="F15" i="41"/>
  <c r="G15" i="41" s="1"/>
  <c r="I15" i="41"/>
  <c r="J15" i="41"/>
  <c r="K15" i="41"/>
  <c r="L15" i="41"/>
  <c r="M15" i="41"/>
  <c r="O15" i="41"/>
  <c r="P15" i="41"/>
  <c r="Q15" i="41"/>
  <c r="S15" i="41"/>
  <c r="T15" i="41"/>
  <c r="R15" i="41" l="1"/>
  <c r="N15" i="41"/>
  <c r="R14" i="41"/>
  <c r="N14" i="41"/>
  <c r="M29" i="34"/>
  <c r="L29" i="34"/>
  <c r="K29" i="34"/>
  <c r="I29" i="34"/>
  <c r="C29" i="34"/>
  <c r="M28" i="34"/>
  <c r="L28" i="34"/>
  <c r="K28" i="34"/>
  <c r="I28" i="34"/>
  <c r="C28" i="34"/>
  <c r="H28" i="34" s="1"/>
  <c r="M27" i="34"/>
  <c r="L27" i="34"/>
  <c r="K27" i="34"/>
  <c r="I27" i="34"/>
  <c r="C27" i="34"/>
  <c r="H27" i="34" s="1"/>
  <c r="N27" i="34" s="1"/>
  <c r="M26" i="34"/>
  <c r="L26" i="34"/>
  <c r="K26" i="34"/>
  <c r="I26" i="34"/>
  <c r="C26" i="34"/>
  <c r="H26" i="34" s="1"/>
  <c r="M25" i="34"/>
  <c r="L25" i="34"/>
  <c r="K25" i="34"/>
  <c r="I25" i="34"/>
  <c r="C25" i="34"/>
  <c r="H25" i="34" s="1"/>
  <c r="M24" i="34"/>
  <c r="L24" i="34"/>
  <c r="K24" i="34"/>
  <c r="I24" i="34"/>
  <c r="C24" i="34"/>
  <c r="H24" i="34" s="1"/>
  <c r="M23" i="34"/>
  <c r="L23" i="34"/>
  <c r="K23" i="34"/>
  <c r="I23" i="34"/>
  <c r="C23" i="34"/>
  <c r="E29" i="34" s="1"/>
  <c r="M22" i="34"/>
  <c r="L22" i="34"/>
  <c r="K22" i="34"/>
  <c r="I22" i="34"/>
  <c r="C22" i="34"/>
  <c r="M21" i="34"/>
  <c r="L21" i="34"/>
  <c r="K21" i="34"/>
  <c r="I21" i="34"/>
  <c r="C21" i="34"/>
  <c r="E27" i="34" s="1"/>
  <c r="H23" i="34" l="1"/>
  <c r="J23" i="34" s="1"/>
  <c r="N26" i="34"/>
  <c r="T26" i="34"/>
  <c r="Z26" i="34"/>
  <c r="J26" i="34"/>
  <c r="N24" i="34"/>
  <c r="T24" i="34"/>
  <c r="Z24" i="34"/>
  <c r="J24" i="34"/>
  <c r="E28" i="34"/>
  <c r="E30" i="34" s="1"/>
  <c r="H22" i="34"/>
  <c r="T28" i="34"/>
  <c r="Z28" i="34"/>
  <c r="J28" i="34"/>
  <c r="N28" i="34"/>
  <c r="H29" i="34"/>
  <c r="J27" i="34"/>
  <c r="Z27" i="34"/>
  <c r="T25" i="34"/>
  <c r="T27" i="34"/>
  <c r="N25" i="34"/>
  <c r="C30" i="34"/>
  <c r="H21" i="34"/>
  <c r="J25" i="34"/>
  <c r="Z25" i="34"/>
  <c r="N23" i="34" l="1"/>
  <c r="Z23" i="34"/>
  <c r="T23" i="34"/>
  <c r="Z21" i="34"/>
  <c r="J21" i="34"/>
  <c r="H30" i="34"/>
  <c r="N21" i="34"/>
  <c r="T21" i="34"/>
  <c r="N22" i="34"/>
  <c r="T22" i="34"/>
  <c r="Z22" i="34"/>
  <c r="J22" i="34"/>
  <c r="AA26" i="34"/>
  <c r="AC26" i="34" s="1"/>
  <c r="O26" i="34"/>
  <c r="P26" i="34" s="1"/>
  <c r="U26" i="34"/>
  <c r="O27" i="34"/>
  <c r="P27" i="34" s="1"/>
  <c r="U27" i="34"/>
  <c r="AA27" i="34"/>
  <c r="AC27" i="34" s="1"/>
  <c r="O25" i="34"/>
  <c r="P25" i="34" s="1"/>
  <c r="U25" i="34"/>
  <c r="AA25" i="34"/>
  <c r="AC25" i="34" s="1"/>
  <c r="N29" i="34"/>
  <c r="T29" i="34"/>
  <c r="Z29" i="34"/>
  <c r="J29" i="34"/>
  <c r="O23" i="34"/>
  <c r="P23" i="34" s="1"/>
  <c r="AA23" i="34"/>
  <c r="AC23" i="34" s="1"/>
  <c r="U23" i="34"/>
  <c r="AA28" i="34"/>
  <c r="AC28" i="34" s="1"/>
  <c r="O28" i="34"/>
  <c r="P28" i="34" s="1"/>
  <c r="U28" i="34"/>
  <c r="AA24" i="34"/>
  <c r="AC24" i="34" s="1"/>
  <c r="U24" i="34"/>
  <c r="O24" i="34"/>
  <c r="P24" i="34" s="1"/>
  <c r="AA22" i="34" l="1"/>
  <c r="AC22" i="34" s="1"/>
  <c r="U22" i="34"/>
  <c r="O22" i="34"/>
  <c r="P22" i="34" s="1"/>
  <c r="R23" i="34"/>
  <c r="AF27" i="34"/>
  <c r="AB27" i="34"/>
  <c r="T30" i="34"/>
  <c r="AB24" i="34"/>
  <c r="AB26" i="34"/>
  <c r="N30" i="34"/>
  <c r="J30" i="34"/>
  <c r="O21" i="34"/>
  <c r="P21" i="34" s="1"/>
  <c r="U21" i="34"/>
  <c r="AA21" i="34"/>
  <c r="AC21" i="34" s="1"/>
  <c r="AB28" i="34"/>
  <c r="AF28" i="34"/>
  <c r="Z30" i="34"/>
  <c r="R27" i="34"/>
  <c r="AB25" i="34"/>
  <c r="O29" i="34"/>
  <c r="P29" i="34" s="1"/>
  <c r="U29" i="34"/>
  <c r="AA29" i="34"/>
  <c r="AC29" i="34" s="1"/>
  <c r="R24" i="34"/>
  <c r="AB23" i="34"/>
  <c r="Q26" i="34" l="1"/>
  <c r="Q25" i="34"/>
  <c r="Q28" i="34"/>
  <c r="R26" i="34"/>
  <c r="S26" i="34" s="1"/>
  <c r="R25" i="34"/>
  <c r="S25" i="34" s="1"/>
  <c r="R28" i="34"/>
  <c r="S28" i="34" s="1"/>
  <c r="AF29" i="34"/>
  <c r="AB29" i="34"/>
  <c r="S24" i="34"/>
  <c r="Q24" i="34"/>
  <c r="Q27" i="34"/>
  <c r="S27" i="34"/>
  <c r="U30" i="34"/>
  <c r="AF26" i="34"/>
  <c r="Q23" i="34"/>
  <c r="S23" i="34"/>
  <c r="AB22" i="34"/>
  <c r="AF25" i="34"/>
  <c r="AA30" i="34"/>
  <c r="AB21" i="34"/>
  <c r="AF24" i="34"/>
  <c r="AF23" i="34"/>
  <c r="O30" i="34"/>
  <c r="P30" i="34" l="1"/>
  <c r="Q21" i="34"/>
  <c r="Q22" i="34"/>
  <c r="R21" i="34"/>
  <c r="R22" i="34"/>
  <c r="S22" i="34" s="1"/>
  <c r="Q29" i="34"/>
  <c r="AF22" i="34"/>
  <c r="AC30" i="34"/>
  <c r="R29" i="34"/>
  <c r="S29" i="34" s="1"/>
  <c r="AF21" i="34"/>
  <c r="R30" i="34" l="1"/>
  <c r="Q30" i="34"/>
  <c r="AF30" i="34"/>
  <c r="S21" i="34"/>
  <c r="C8" i="46" l="1"/>
  <c r="E8" i="46" s="1"/>
  <c r="C7" i="46"/>
  <c r="E7" i="46" s="1"/>
  <c r="C6" i="46"/>
  <c r="E6" i="46" s="1"/>
  <c r="C5" i="46"/>
  <c r="E5" i="46" s="1"/>
  <c r="C4" i="46"/>
  <c r="E4" i="46" s="1"/>
  <c r="K12" i="34" l="1"/>
  <c r="K11" i="34"/>
  <c r="K10" i="34"/>
  <c r="K9" i="34"/>
  <c r="K8" i="34"/>
  <c r="K7" i="34"/>
  <c r="K6" i="34"/>
  <c r="K5" i="34"/>
  <c r="J9" i="35"/>
  <c r="K9" i="35" s="1"/>
  <c r="F11" i="35"/>
  <c r="E11" i="35"/>
  <c r="F10" i="35"/>
  <c r="E10" i="35"/>
  <c r="F9" i="35"/>
  <c r="E9" i="35"/>
  <c r="F8" i="35"/>
  <c r="E8" i="35"/>
  <c r="F7" i="35"/>
  <c r="E7" i="35"/>
  <c r="T12" i="41"/>
  <c r="AX29" i="34" s="1"/>
  <c r="T11" i="41"/>
  <c r="AX28" i="34" s="1"/>
  <c r="T10" i="41"/>
  <c r="AX27" i="34" s="1"/>
  <c r="T9" i="41"/>
  <c r="AX26" i="34" s="1"/>
  <c r="T8" i="41"/>
  <c r="AX25" i="34" s="1"/>
  <c r="T7" i="41"/>
  <c r="AX24" i="34" s="1"/>
  <c r="T6" i="41"/>
  <c r="AX23" i="34" s="1"/>
  <c r="T5" i="41"/>
  <c r="AX22" i="34" s="1"/>
  <c r="T4" i="41"/>
  <c r="AX21" i="34" s="1"/>
  <c r="S12" i="41"/>
  <c r="AW29" i="34" s="1"/>
  <c r="S11" i="41"/>
  <c r="AW28" i="34" s="1"/>
  <c r="S10" i="41"/>
  <c r="AW27" i="34" s="1"/>
  <c r="S9" i="41"/>
  <c r="AW26" i="34" s="1"/>
  <c r="S8" i="41"/>
  <c r="AW25" i="34" s="1"/>
  <c r="S7" i="41"/>
  <c r="AW24" i="34" s="1"/>
  <c r="S6" i="41"/>
  <c r="AW23" i="34" s="1"/>
  <c r="S5" i="41"/>
  <c r="AW22" i="34" s="1"/>
  <c r="S4" i="41"/>
  <c r="AW21" i="34" s="1"/>
  <c r="Q11" i="41"/>
  <c r="AM28" i="34" s="1"/>
  <c r="Q10" i="41"/>
  <c r="AM27" i="34" s="1"/>
  <c r="Q9" i="41"/>
  <c r="AM26" i="34" s="1"/>
  <c r="Q8" i="41"/>
  <c r="AM25" i="34" s="1"/>
  <c r="Q7" i="41"/>
  <c r="AM24" i="34" s="1"/>
  <c r="Q6" i="41"/>
  <c r="AM23" i="34" s="1"/>
  <c r="Q5" i="41"/>
  <c r="AM22" i="34" s="1"/>
  <c r="Q4" i="41"/>
  <c r="AM21" i="34" s="1"/>
  <c r="Q12" i="41"/>
  <c r="AM29" i="34" s="1"/>
  <c r="P12" i="41"/>
  <c r="AL29" i="34" s="1"/>
  <c r="P11" i="41"/>
  <c r="AL28" i="34" s="1"/>
  <c r="P10" i="41"/>
  <c r="AL27" i="34" s="1"/>
  <c r="P9" i="41"/>
  <c r="AL26" i="34" s="1"/>
  <c r="P8" i="41"/>
  <c r="AL25" i="34" s="1"/>
  <c r="P7" i="41"/>
  <c r="AL24" i="34" s="1"/>
  <c r="P6" i="41"/>
  <c r="AL23" i="34" s="1"/>
  <c r="P5" i="41"/>
  <c r="AL22" i="34" s="1"/>
  <c r="P4" i="41"/>
  <c r="AL21" i="34" s="1"/>
  <c r="O12" i="41"/>
  <c r="AK29" i="34" s="1"/>
  <c r="O11" i="41"/>
  <c r="AK28" i="34" s="1"/>
  <c r="O10" i="41"/>
  <c r="AK27" i="34" s="1"/>
  <c r="O9" i="41"/>
  <c r="AK26" i="34" s="1"/>
  <c r="O8" i="41"/>
  <c r="AK25" i="34" s="1"/>
  <c r="O7" i="41"/>
  <c r="AK24" i="34" s="1"/>
  <c r="O6" i="41"/>
  <c r="AK23" i="34" s="1"/>
  <c r="O5" i="41"/>
  <c r="AK22" i="34" s="1"/>
  <c r="O4" i="41"/>
  <c r="AK21" i="34" s="1"/>
  <c r="M12" i="41"/>
  <c r="AJ29" i="34" s="1"/>
  <c r="M11" i="41"/>
  <c r="AJ28" i="34" s="1"/>
  <c r="M10" i="41"/>
  <c r="AJ27" i="34" s="1"/>
  <c r="M9" i="41"/>
  <c r="AJ26" i="34" s="1"/>
  <c r="M8" i="41"/>
  <c r="AJ25" i="34" s="1"/>
  <c r="M7" i="41"/>
  <c r="AJ24" i="34" s="1"/>
  <c r="M6" i="41"/>
  <c r="AJ23" i="34" s="1"/>
  <c r="M5" i="41"/>
  <c r="AJ22" i="34" s="1"/>
  <c r="M4" i="41"/>
  <c r="AJ21" i="34" s="1"/>
  <c r="L12" i="41"/>
  <c r="AI29" i="34" s="1"/>
  <c r="L11" i="41"/>
  <c r="AI28" i="34" s="1"/>
  <c r="L10" i="41"/>
  <c r="AI27" i="34" s="1"/>
  <c r="L9" i="41"/>
  <c r="AI26" i="34" s="1"/>
  <c r="L8" i="41"/>
  <c r="AI25" i="34" s="1"/>
  <c r="L7" i="41"/>
  <c r="AI24" i="34" s="1"/>
  <c r="L6" i="41"/>
  <c r="AI23" i="34" s="1"/>
  <c r="L5" i="41"/>
  <c r="AI22" i="34" s="1"/>
  <c r="L4" i="41"/>
  <c r="AI21" i="34" s="1"/>
  <c r="K12" i="41"/>
  <c r="AH29" i="34" s="1"/>
  <c r="K11" i="41"/>
  <c r="AH28" i="34" s="1"/>
  <c r="K10" i="41"/>
  <c r="AH27" i="34" s="1"/>
  <c r="K9" i="41"/>
  <c r="AH26" i="34" s="1"/>
  <c r="K8" i="41"/>
  <c r="AH25" i="34" s="1"/>
  <c r="K7" i="41"/>
  <c r="AH24" i="34" s="1"/>
  <c r="K6" i="41"/>
  <c r="AH23" i="34" s="1"/>
  <c r="K5" i="41"/>
  <c r="AH22" i="34" s="1"/>
  <c r="K4" i="41"/>
  <c r="AH21" i="34" s="1"/>
  <c r="J10" i="41"/>
  <c r="AD27" i="34" s="1"/>
  <c r="J9" i="41"/>
  <c r="AD26" i="34" s="1"/>
  <c r="J8" i="41"/>
  <c r="AD25" i="34" s="1"/>
  <c r="J7" i="41"/>
  <c r="AD24" i="34" s="1"/>
  <c r="J6" i="41"/>
  <c r="AD23" i="34" s="1"/>
  <c r="AE23" i="34" s="1"/>
  <c r="J5" i="41"/>
  <c r="AD22" i="34" s="1"/>
  <c r="AE22" i="34" s="1"/>
  <c r="J4" i="41"/>
  <c r="AD21" i="34" s="1"/>
  <c r="J12" i="41"/>
  <c r="AD29" i="34" s="1"/>
  <c r="J11" i="41"/>
  <c r="AD28" i="34" s="1"/>
  <c r="C12" i="34"/>
  <c r="C11" i="34"/>
  <c r="C10" i="34"/>
  <c r="C9" i="34"/>
  <c r="C8" i="34"/>
  <c r="C7" i="34"/>
  <c r="C6" i="34"/>
  <c r="C5" i="34"/>
  <c r="C4" i="34"/>
  <c r="J10" i="34" l="1"/>
  <c r="BP10" i="34"/>
  <c r="D39" i="46" s="1"/>
  <c r="BQ10" i="34"/>
  <c r="BP11" i="34"/>
  <c r="D40" i="46" s="1"/>
  <c r="BQ11" i="34"/>
  <c r="BP12" i="34"/>
  <c r="D41" i="46" s="1"/>
  <c r="BQ12" i="34"/>
  <c r="BP5" i="34"/>
  <c r="D34" i="46" s="1"/>
  <c r="BQ5" i="34"/>
  <c r="BP6" i="34"/>
  <c r="D35" i="46" s="1"/>
  <c r="BQ6" i="34"/>
  <c r="BP8" i="34"/>
  <c r="D37" i="46" s="1"/>
  <c r="BQ8" i="34"/>
  <c r="BQ4" i="34"/>
  <c r="BP4" i="34"/>
  <c r="BP7" i="34"/>
  <c r="D36" i="46" s="1"/>
  <c r="BQ7" i="34"/>
  <c r="BP9" i="34"/>
  <c r="D38" i="46" s="1"/>
  <c r="BQ9" i="34"/>
  <c r="H11" i="35"/>
  <c r="V29" i="34"/>
  <c r="H10" i="35"/>
  <c r="V28" i="34"/>
  <c r="H9" i="35"/>
  <c r="V27" i="34"/>
  <c r="H7" i="35"/>
  <c r="V25" i="34"/>
  <c r="H8" i="35"/>
  <c r="V26" i="34"/>
  <c r="AE25" i="34"/>
  <c r="AE26" i="34"/>
  <c r="AE21" i="34"/>
  <c r="AE24" i="34"/>
  <c r="AE27" i="34"/>
  <c r="AE28" i="34"/>
  <c r="AE29" i="34"/>
  <c r="C13" i="34"/>
  <c r="BQ13" i="34" l="1"/>
  <c r="B47" i="46" s="1"/>
  <c r="D33" i="46"/>
  <c r="D42" i="46" s="1"/>
  <c r="BP13" i="34"/>
  <c r="W29" i="34"/>
  <c r="Y29" i="34" s="1"/>
  <c r="X29" i="34"/>
  <c r="AO29" i="34" s="1"/>
  <c r="AS29" i="34" s="1"/>
  <c r="BK29" i="34" s="1"/>
  <c r="X28" i="34"/>
  <c r="AO28" i="34" s="1"/>
  <c r="AR28" i="34" s="1"/>
  <c r="BJ28" i="34" s="1"/>
  <c r="W28" i="34"/>
  <c r="Y28" i="34" s="1"/>
  <c r="W27" i="34"/>
  <c r="Y27" i="34" s="1"/>
  <c r="X27" i="34"/>
  <c r="AO27" i="34" s="1"/>
  <c r="AP27" i="34" s="1"/>
  <c r="W25" i="34"/>
  <c r="Y25" i="34" s="1"/>
  <c r="X25" i="34"/>
  <c r="AO25" i="34" s="1"/>
  <c r="AP25" i="34" s="1"/>
  <c r="W26" i="34"/>
  <c r="Y26" i="34" s="1"/>
  <c r="X26" i="34"/>
  <c r="AO26" i="34" s="1"/>
  <c r="AQ26" i="34" s="1"/>
  <c r="BI26" i="34" s="1"/>
  <c r="AE30" i="34"/>
  <c r="E12" i="34"/>
  <c r="E11" i="34"/>
  <c r="E10" i="34"/>
  <c r="AN27" i="34" l="1"/>
  <c r="AR26" i="34"/>
  <c r="BJ26" i="34" s="1"/>
  <c r="AP28" i="34"/>
  <c r="AQ28" i="34"/>
  <c r="BI28" i="34" s="1"/>
  <c r="AS28" i="34"/>
  <c r="BK28" i="34" s="1"/>
  <c r="AN28" i="34"/>
  <c r="AN26" i="34"/>
  <c r="AP26" i="34"/>
  <c r="AG28" i="34"/>
  <c r="AS25" i="34"/>
  <c r="BK25" i="34" s="1"/>
  <c r="AQ25" i="34"/>
  <c r="BI25" i="34" s="1"/>
  <c r="AR25" i="34"/>
  <c r="BJ25" i="34" s="1"/>
  <c r="AG25" i="34"/>
  <c r="AN25" i="34"/>
  <c r="AR27" i="34"/>
  <c r="BJ27" i="34" s="1"/>
  <c r="AG27" i="34"/>
  <c r="AS27" i="34"/>
  <c r="BK27" i="34" s="1"/>
  <c r="AQ27" i="34"/>
  <c r="BI27" i="34" s="1"/>
  <c r="AN29" i="34"/>
  <c r="AQ29" i="34"/>
  <c r="BI29" i="34" s="1"/>
  <c r="AG29" i="34"/>
  <c r="AP29" i="34"/>
  <c r="AR29" i="34"/>
  <c r="BJ29" i="34" s="1"/>
  <c r="AG26" i="34"/>
  <c r="AS26" i="34"/>
  <c r="BK26" i="34" s="1"/>
  <c r="E13" i="34"/>
  <c r="AT28" i="34" l="1"/>
  <c r="AY28" i="34" s="1"/>
  <c r="AU28" i="34"/>
  <c r="AZ28" i="34" s="1"/>
  <c r="BA28" i="34" s="1"/>
  <c r="BH28" i="34" s="1"/>
  <c r="BM28" i="34" s="1"/>
  <c r="AU26" i="34"/>
  <c r="AZ26" i="34" s="1"/>
  <c r="AU27" i="34"/>
  <c r="BG27" i="34" s="1"/>
  <c r="AT26" i="34"/>
  <c r="BF26" i="34" s="1"/>
  <c r="AT29" i="34"/>
  <c r="AY29" i="34" s="1"/>
  <c r="AT25" i="34"/>
  <c r="AV25" i="34" s="1"/>
  <c r="AU25" i="34"/>
  <c r="AZ25" i="34" s="1"/>
  <c r="BA25" i="34" s="1"/>
  <c r="BH25" i="34" s="1"/>
  <c r="AT27" i="34"/>
  <c r="AV27" i="34" s="1"/>
  <c r="AU29" i="34"/>
  <c r="AZ29" i="34" s="1"/>
  <c r="BA29" i="34" s="1"/>
  <c r="BH29" i="34" s="1"/>
  <c r="E33" i="40"/>
  <c r="BG26" i="34" l="1"/>
  <c r="AV28" i="34"/>
  <c r="BF28" i="34"/>
  <c r="AZ27" i="34"/>
  <c r="BA27" i="34" s="1"/>
  <c r="BH27" i="34" s="1"/>
  <c r="BL27" i="34" s="1"/>
  <c r="BL28" i="34"/>
  <c r="BB28" i="34"/>
  <c r="BD28" i="34" s="1"/>
  <c r="BC28" i="34"/>
  <c r="BE28" i="34" s="1"/>
  <c r="BG28" i="34"/>
  <c r="BF29" i="34"/>
  <c r="AV29" i="34"/>
  <c r="BG29" i="34"/>
  <c r="BG25" i="34"/>
  <c r="AV26" i="34"/>
  <c r="AY25" i="34"/>
  <c r="BB25" i="34" s="1"/>
  <c r="BD25" i="34" s="1"/>
  <c r="AY26" i="34"/>
  <c r="BF25" i="34"/>
  <c r="BF27" i="34"/>
  <c r="AY27" i="34"/>
  <c r="BC25" i="34"/>
  <c r="BE25" i="34" s="1"/>
  <c r="BL25" i="34"/>
  <c r="BM25" i="34"/>
  <c r="BC29" i="34"/>
  <c r="BE29" i="34" s="1"/>
  <c r="BM29" i="34"/>
  <c r="BL29" i="34"/>
  <c r="BB29" i="34"/>
  <c r="BD29" i="34" s="1"/>
  <c r="BA26" i="34"/>
  <c r="E4" i="35"/>
  <c r="E12" i="35"/>
  <c r="E13" i="35"/>
  <c r="E14" i="35"/>
  <c r="E15" i="35"/>
  <c r="E16" i="35"/>
  <c r="E17" i="35"/>
  <c r="E18" i="35"/>
  <c r="E19" i="35"/>
  <c r="E5" i="35"/>
  <c r="E6" i="35"/>
  <c r="E3" i="35"/>
  <c r="L12" i="34"/>
  <c r="L11" i="34"/>
  <c r="L10" i="34"/>
  <c r="L9" i="34"/>
  <c r="L8" i="34"/>
  <c r="L7" i="34"/>
  <c r="L6" i="34"/>
  <c r="L5" i="34"/>
  <c r="L4" i="34"/>
  <c r="K4" i="34"/>
  <c r="BM27" i="34" l="1"/>
  <c r="BB27" i="34"/>
  <c r="BD27" i="34" s="1"/>
  <c r="BC27" i="34"/>
  <c r="BE27" i="34" s="1"/>
  <c r="BN28" i="34"/>
  <c r="BN25" i="34"/>
  <c r="BN29" i="34"/>
  <c r="BC26" i="34"/>
  <c r="BB26" i="34"/>
  <c r="BD26" i="34" s="1"/>
  <c r="BH26" i="34"/>
  <c r="E20" i="40"/>
  <c r="BM26" i="34" l="1"/>
  <c r="BL26" i="34"/>
  <c r="BN26" i="34" s="1"/>
  <c r="BE26" i="34"/>
  <c r="BN27" i="34"/>
  <c r="AD11" i="34" l="1"/>
  <c r="AD12" i="34"/>
  <c r="AD10" i="34"/>
  <c r="AD9" i="34"/>
  <c r="AD8" i="34"/>
  <c r="F4" i="35" l="1"/>
  <c r="V22" i="34" s="1"/>
  <c r="F12" i="35"/>
  <c r="F13" i="35"/>
  <c r="F14" i="35"/>
  <c r="F15" i="35"/>
  <c r="F16" i="35"/>
  <c r="F17" i="35"/>
  <c r="F18" i="35"/>
  <c r="F19" i="35"/>
  <c r="F5" i="35"/>
  <c r="I11" i="34"/>
  <c r="C11" i="41" s="1"/>
  <c r="H5" i="35" l="1"/>
  <c r="V23" i="34"/>
  <c r="W22" i="34"/>
  <c r="X22" i="34"/>
  <c r="N12" i="41"/>
  <c r="AI7" i="34"/>
  <c r="AI8" i="34"/>
  <c r="AM11" i="34"/>
  <c r="AH5" i="34"/>
  <c r="AI9" i="34"/>
  <c r="AK12" i="34"/>
  <c r="AL8" i="34"/>
  <c r="AM12" i="34"/>
  <c r="AW7" i="34"/>
  <c r="AX12" i="34"/>
  <c r="H16" i="35"/>
  <c r="AL6" i="34"/>
  <c r="AM10" i="34"/>
  <c r="H18" i="35"/>
  <c r="AH12" i="34"/>
  <c r="AJ12" i="34"/>
  <c r="AL7" i="34"/>
  <c r="AW6" i="34"/>
  <c r="AX11" i="34"/>
  <c r="H17" i="35"/>
  <c r="AJ5" i="34"/>
  <c r="AH6" i="34"/>
  <c r="AI10" i="34"/>
  <c r="AJ6" i="34"/>
  <c r="AK5" i="34"/>
  <c r="AL9" i="34"/>
  <c r="AM5" i="34"/>
  <c r="AW8" i="34"/>
  <c r="AX5" i="34"/>
  <c r="H15" i="35"/>
  <c r="AK10" i="34"/>
  <c r="AX10" i="34"/>
  <c r="AJ7" i="34"/>
  <c r="AL10" i="34"/>
  <c r="AW9" i="34"/>
  <c r="AH8" i="34"/>
  <c r="AI12" i="34"/>
  <c r="AJ8" i="34"/>
  <c r="AK7" i="34"/>
  <c r="AL11" i="34"/>
  <c r="AM7" i="34"/>
  <c r="AW10" i="34"/>
  <c r="AX7" i="34"/>
  <c r="H13" i="35"/>
  <c r="AJ11" i="34"/>
  <c r="AI11" i="34"/>
  <c r="AK6" i="34"/>
  <c r="AH9" i="34"/>
  <c r="AJ9" i="34"/>
  <c r="N8" i="41"/>
  <c r="AK8" i="34"/>
  <c r="AL12" i="34"/>
  <c r="AM8" i="34"/>
  <c r="R6" i="41"/>
  <c r="AW11" i="34"/>
  <c r="AX8" i="34"/>
  <c r="AW5" i="34"/>
  <c r="AH7" i="34"/>
  <c r="AM6" i="34"/>
  <c r="AX6" i="34"/>
  <c r="H14" i="35"/>
  <c r="AI5" i="34"/>
  <c r="AH10" i="34"/>
  <c r="AI6" i="34"/>
  <c r="AJ10" i="34"/>
  <c r="N7" i="41"/>
  <c r="AK9" i="34"/>
  <c r="AL5" i="34"/>
  <c r="AM9" i="34"/>
  <c r="AW12" i="34"/>
  <c r="AX9" i="34"/>
  <c r="H19" i="35"/>
  <c r="H12" i="35"/>
  <c r="H4" i="35"/>
  <c r="R12" i="41"/>
  <c r="R5" i="41"/>
  <c r="R10" i="41"/>
  <c r="R9" i="41"/>
  <c r="N11" i="41"/>
  <c r="AH11" i="34"/>
  <c r="N10" i="41"/>
  <c r="N6" i="41"/>
  <c r="N9" i="41"/>
  <c r="N5" i="41"/>
  <c r="R8" i="41"/>
  <c r="R11" i="41"/>
  <c r="AK11" i="34"/>
  <c r="R7" i="41"/>
  <c r="I5" i="34"/>
  <c r="C5" i="41" s="1"/>
  <c r="I6" i="34"/>
  <c r="C6" i="41" s="1"/>
  <c r="I7" i="34"/>
  <c r="C7" i="41" s="1"/>
  <c r="I8" i="34"/>
  <c r="C8" i="41" s="1"/>
  <c r="I9" i="34"/>
  <c r="C9" i="41" s="1"/>
  <c r="I10" i="34"/>
  <c r="C10" i="41" s="1"/>
  <c r="I12" i="34"/>
  <c r="C12" i="41" s="1"/>
  <c r="I4" i="34"/>
  <c r="C4" i="41" s="1"/>
  <c r="H12" i="34"/>
  <c r="H9" i="34"/>
  <c r="H8" i="34"/>
  <c r="H7" i="34"/>
  <c r="H5" i="34"/>
  <c r="X23" i="34" l="1"/>
  <c r="W23" i="34"/>
  <c r="AO22" i="34"/>
  <c r="Y22" i="34"/>
  <c r="AN22" i="34"/>
  <c r="AG22" i="34"/>
  <c r="J9" i="34"/>
  <c r="J5" i="34"/>
  <c r="J7" i="34"/>
  <c r="J8" i="34"/>
  <c r="J12" i="34"/>
  <c r="T12" i="34"/>
  <c r="N12" i="34"/>
  <c r="H11" i="34"/>
  <c r="J11" i="34" s="1"/>
  <c r="H10" i="34"/>
  <c r="N9" i="34"/>
  <c r="T9" i="34"/>
  <c r="N8" i="34"/>
  <c r="T8" i="34"/>
  <c r="T7" i="34"/>
  <c r="N7" i="34"/>
  <c r="H6" i="34"/>
  <c r="J6" i="34" s="1"/>
  <c r="T5" i="34"/>
  <c r="N5" i="34"/>
  <c r="H4" i="34"/>
  <c r="Y23" i="34" l="1"/>
  <c r="AN23" i="34"/>
  <c r="AG23" i="34"/>
  <c r="AO23" i="34"/>
  <c r="AR22" i="34"/>
  <c r="AP22" i="34"/>
  <c r="AQ22" i="34"/>
  <c r="AS22" i="34"/>
  <c r="U12" i="34"/>
  <c r="V12" i="34" s="1"/>
  <c r="O12" i="34"/>
  <c r="P12" i="34" s="1"/>
  <c r="T11" i="34"/>
  <c r="N11" i="34"/>
  <c r="N10" i="34"/>
  <c r="T10" i="34"/>
  <c r="U9" i="34"/>
  <c r="V9" i="34" s="1"/>
  <c r="O9" i="34"/>
  <c r="P9" i="34" s="1"/>
  <c r="U8" i="34"/>
  <c r="V8" i="34" s="1"/>
  <c r="O8" i="34"/>
  <c r="P8" i="34" s="1"/>
  <c r="O7" i="34"/>
  <c r="P7" i="34" s="1"/>
  <c r="U7" i="34"/>
  <c r="N6" i="34"/>
  <c r="T6" i="34"/>
  <c r="U5" i="34"/>
  <c r="V5" i="34" s="1"/>
  <c r="O5" i="34"/>
  <c r="P5" i="34" s="1"/>
  <c r="N4" i="34"/>
  <c r="J4" i="34"/>
  <c r="H13" i="34"/>
  <c r="G6" i="41"/>
  <c r="G7" i="41"/>
  <c r="G8" i="41"/>
  <c r="G9" i="41"/>
  <c r="G10" i="41"/>
  <c r="G11" i="41"/>
  <c r="G12" i="41"/>
  <c r="G5" i="41"/>
  <c r="AU22" i="34" l="1"/>
  <c r="AZ22" i="34" s="1"/>
  <c r="AP23" i="34"/>
  <c r="AR23" i="34"/>
  <c r="BJ23" i="34" s="1"/>
  <c r="AS23" i="34"/>
  <c r="BK23" i="34" s="1"/>
  <c r="AQ23" i="34"/>
  <c r="BI23" i="34" s="1"/>
  <c r="BK22" i="34"/>
  <c r="BI22" i="34"/>
  <c r="BJ22" i="34"/>
  <c r="AT22" i="34"/>
  <c r="M7" i="34"/>
  <c r="M6" i="34"/>
  <c r="Z6" i="34" s="1"/>
  <c r="M12" i="34"/>
  <c r="M5" i="34"/>
  <c r="M10" i="34"/>
  <c r="Z10" i="34" s="1"/>
  <c r="M11" i="34"/>
  <c r="Z11" i="34" s="1"/>
  <c r="M9" i="34"/>
  <c r="M8" i="34"/>
  <c r="R9" i="34"/>
  <c r="W12" i="34"/>
  <c r="Q12" i="34"/>
  <c r="U11" i="34"/>
  <c r="V11" i="34" s="1"/>
  <c r="O11" i="34"/>
  <c r="P11" i="34" s="1"/>
  <c r="U10" i="34"/>
  <c r="V10" i="34" s="1"/>
  <c r="O10" i="34"/>
  <c r="P10" i="34" s="1"/>
  <c r="W9" i="34"/>
  <c r="R8" i="34"/>
  <c r="W8" i="34"/>
  <c r="Q7" i="34"/>
  <c r="O6" i="34"/>
  <c r="P6" i="34" s="1"/>
  <c r="U6" i="34"/>
  <c r="V6" i="34" s="1"/>
  <c r="N13" i="34"/>
  <c r="W5" i="34"/>
  <c r="O4" i="34"/>
  <c r="P4" i="34" s="1"/>
  <c r="J13" i="34"/>
  <c r="I28" i="41"/>
  <c r="H28" i="41"/>
  <c r="I27" i="41"/>
  <c r="H27" i="41"/>
  <c r="J27" i="41" s="1"/>
  <c r="J26" i="41"/>
  <c r="I21" i="41"/>
  <c r="H21" i="41"/>
  <c r="H22" i="41" s="1"/>
  <c r="H23" i="41" s="1"/>
  <c r="J20" i="41"/>
  <c r="AT23" i="34" l="1"/>
  <c r="AY23" i="34" s="1"/>
  <c r="BG22" i="34"/>
  <c r="AU23" i="34"/>
  <c r="BG23" i="34" s="1"/>
  <c r="BF22" i="34"/>
  <c r="AV22" i="34"/>
  <c r="AY22" i="34"/>
  <c r="BA22" i="34"/>
  <c r="AA10" i="34"/>
  <c r="AA11" i="34"/>
  <c r="Z9" i="34"/>
  <c r="AA9" i="34"/>
  <c r="Z12" i="34"/>
  <c r="AA12" i="34"/>
  <c r="AA6" i="34"/>
  <c r="Z7" i="34"/>
  <c r="AA7" i="34"/>
  <c r="Z5" i="34"/>
  <c r="AA5" i="34"/>
  <c r="Z8" i="34"/>
  <c r="AA8" i="34"/>
  <c r="S9" i="34"/>
  <c r="Q9" i="34"/>
  <c r="Y9" i="34" s="1"/>
  <c r="X8" i="34"/>
  <c r="X9" i="34"/>
  <c r="O13" i="34"/>
  <c r="X5" i="34"/>
  <c r="R12" i="34"/>
  <c r="S12" i="34" s="1"/>
  <c r="Y12" i="34"/>
  <c r="X12" i="34"/>
  <c r="Q11" i="34"/>
  <c r="W11" i="34"/>
  <c r="Q10" i="34"/>
  <c r="W10" i="34"/>
  <c r="Q8" i="34"/>
  <c r="Y8" i="34" s="1"/>
  <c r="S8" i="34"/>
  <c r="R7" i="34"/>
  <c r="S7" i="34" s="1"/>
  <c r="W6" i="34"/>
  <c r="Q6" i="34"/>
  <c r="Q5" i="34"/>
  <c r="R5" i="34"/>
  <c r="S5" i="34" s="1"/>
  <c r="J21" i="41"/>
  <c r="J28" i="41"/>
  <c r="H24" i="41"/>
  <c r="I22" i="41"/>
  <c r="I23" i="41" s="1"/>
  <c r="I24" i="41" s="1"/>
  <c r="J22" i="41"/>
  <c r="AZ23" i="34" l="1"/>
  <c r="BA23" i="34" s="1"/>
  <c r="BH23" i="34" s="1"/>
  <c r="BF23" i="34"/>
  <c r="AV23" i="34"/>
  <c r="BH22" i="34"/>
  <c r="BC22" i="34"/>
  <c r="BB22" i="34"/>
  <c r="AB11" i="34"/>
  <c r="AB10" i="34"/>
  <c r="AC10" i="34"/>
  <c r="C27" i="46" s="1"/>
  <c r="E27" i="46" s="1"/>
  <c r="AB6" i="34"/>
  <c r="AD5" i="34"/>
  <c r="AB8" i="34"/>
  <c r="AB5" i="34"/>
  <c r="AB12" i="34"/>
  <c r="AB7" i="34"/>
  <c r="AB9" i="34"/>
  <c r="P13" i="34"/>
  <c r="R6" i="34"/>
  <c r="S6" i="34" s="1"/>
  <c r="X6" i="34"/>
  <c r="Y11" i="34"/>
  <c r="Y5" i="34"/>
  <c r="X11" i="34"/>
  <c r="R11" i="34"/>
  <c r="S11" i="34" s="1"/>
  <c r="Y10" i="34"/>
  <c r="X10" i="34"/>
  <c r="R10" i="34"/>
  <c r="S10" i="34" s="1"/>
  <c r="Y6" i="34"/>
  <c r="J23" i="41"/>
  <c r="J24" i="41"/>
  <c r="F6" i="35"/>
  <c r="F3" i="35"/>
  <c r="BB23" i="34" l="1"/>
  <c r="BD23" i="34" s="1"/>
  <c r="BC23" i="34"/>
  <c r="BE23" i="34" s="1"/>
  <c r="BL23" i="34"/>
  <c r="BM23" i="34"/>
  <c r="V21" i="34"/>
  <c r="V24" i="34"/>
  <c r="BE22" i="34"/>
  <c r="BD22" i="34"/>
  <c r="BM22" i="34"/>
  <c r="BL22" i="34"/>
  <c r="AD6" i="34"/>
  <c r="AD7" i="34"/>
  <c r="AD4" i="34"/>
  <c r="AW4" i="34"/>
  <c r="AM4" i="34"/>
  <c r="AL4" i="34"/>
  <c r="AK4" i="34"/>
  <c r="AJ4" i="34"/>
  <c r="AI4" i="34"/>
  <c r="BN23" i="34" l="1"/>
  <c r="X21" i="34"/>
  <c r="W21" i="34"/>
  <c r="W24" i="34"/>
  <c r="X24" i="34"/>
  <c r="V30" i="34"/>
  <c r="BN22" i="34"/>
  <c r="AX4" i="34"/>
  <c r="AH4" i="34"/>
  <c r="N4" i="41"/>
  <c r="O26" i="35"/>
  <c r="O25" i="35"/>
  <c r="M7" i="35" l="1"/>
  <c r="N7" i="35" s="1"/>
  <c r="M5" i="35"/>
  <c r="N5" i="35" s="1"/>
  <c r="M11" i="35"/>
  <c r="N11" i="35" s="1"/>
  <c r="Y21" i="34"/>
  <c r="AG21" i="34"/>
  <c r="AN21" i="34"/>
  <c r="AO21" i="34"/>
  <c r="AO24" i="34"/>
  <c r="X30" i="34"/>
  <c r="Y24" i="34"/>
  <c r="AG24" i="34"/>
  <c r="AN24" i="34"/>
  <c r="W30" i="34"/>
  <c r="M10" i="35"/>
  <c r="N10" i="35" s="1"/>
  <c r="M9" i="35"/>
  <c r="N9" i="35" s="1"/>
  <c r="M8" i="35"/>
  <c r="N8" i="35" s="1"/>
  <c r="M6" i="35"/>
  <c r="M17" i="35"/>
  <c r="N17" i="35" s="1"/>
  <c r="M16" i="35"/>
  <c r="N16" i="35" s="1"/>
  <c r="M15" i="35"/>
  <c r="N15" i="35" s="1"/>
  <c r="M3" i="35"/>
  <c r="N3" i="35" s="1"/>
  <c r="M14" i="35"/>
  <c r="N14" i="35" s="1"/>
  <c r="M13" i="35"/>
  <c r="N13" i="35" s="1"/>
  <c r="M12" i="35"/>
  <c r="N12" i="35" s="1"/>
  <c r="M19" i="35"/>
  <c r="N19" i="35" s="1"/>
  <c r="M4" i="35"/>
  <c r="N4" i="35" s="1"/>
  <c r="M18" i="35"/>
  <c r="N18" i="35" s="1"/>
  <c r="H3" i="35"/>
  <c r="AP21" i="34" l="1"/>
  <c r="AQ21" i="34"/>
  <c r="BI21" i="34" s="1"/>
  <c r="AR21" i="34"/>
  <c r="BJ21" i="34" s="1"/>
  <c r="AS21" i="34"/>
  <c r="BK21" i="34" s="1"/>
  <c r="AN30" i="34"/>
  <c r="AS24" i="34"/>
  <c r="AQ24" i="34"/>
  <c r="AR24" i="34"/>
  <c r="AP24" i="34"/>
  <c r="AO30" i="34"/>
  <c r="H30" i="35"/>
  <c r="H31" i="35"/>
  <c r="H40" i="35"/>
  <c r="J5" i="35" l="1"/>
  <c r="K5" i="35" s="1"/>
  <c r="AC6" i="34" s="1"/>
  <c r="J10" i="35"/>
  <c r="K10" i="35" s="1"/>
  <c r="AC11" i="34" s="1"/>
  <c r="J11" i="35"/>
  <c r="K11" i="35" s="1"/>
  <c r="AC12" i="34" s="1"/>
  <c r="J8" i="35"/>
  <c r="K8" i="35" s="1"/>
  <c r="AC9" i="34" s="1"/>
  <c r="C26" i="46" s="1"/>
  <c r="E26" i="46" s="1"/>
  <c r="J6" i="35"/>
  <c r="J7" i="35"/>
  <c r="K7" i="35" s="1"/>
  <c r="AC8" i="34" s="1"/>
  <c r="AU24" i="34"/>
  <c r="BG24" i="34" s="1"/>
  <c r="AU21" i="34"/>
  <c r="AT21" i="34"/>
  <c r="AP30" i="34"/>
  <c r="BI24" i="34"/>
  <c r="BI30" i="34" s="1"/>
  <c r="AQ30" i="34"/>
  <c r="BJ24" i="34"/>
  <c r="BJ30" i="34" s="1"/>
  <c r="AR30" i="34"/>
  <c r="BK24" i="34"/>
  <c r="BK30" i="34" s="1"/>
  <c r="AS30" i="34"/>
  <c r="AT24" i="34"/>
  <c r="J12" i="35"/>
  <c r="K12" i="35" s="1"/>
  <c r="J19" i="35"/>
  <c r="K19" i="35" s="1"/>
  <c r="J18" i="35"/>
  <c r="K18" i="35" s="1"/>
  <c r="J17" i="35"/>
  <c r="K17" i="35" s="1"/>
  <c r="J16" i="35"/>
  <c r="K16" i="35" s="1"/>
  <c r="J15" i="35"/>
  <c r="K15" i="35" s="1"/>
  <c r="J14" i="35"/>
  <c r="K14" i="35" s="1"/>
  <c r="J13" i="35"/>
  <c r="K13" i="35" s="1"/>
  <c r="AU30" i="34" l="1"/>
  <c r="AZ24" i="34"/>
  <c r="BA24" i="34" s="1"/>
  <c r="BC24" i="34" s="1"/>
  <c r="BG21" i="34"/>
  <c r="BG30" i="34" s="1"/>
  <c r="AZ21" i="34"/>
  <c r="BA21" i="34" s="1"/>
  <c r="BH21" i="34" s="1"/>
  <c r="AV21" i="34"/>
  <c r="AY21" i="34"/>
  <c r="BF21" i="34"/>
  <c r="AV24" i="34"/>
  <c r="AY24" i="34"/>
  <c r="AT30" i="34"/>
  <c r="BF24" i="34"/>
  <c r="AE12" i="34"/>
  <c r="AF12" i="34"/>
  <c r="AO12" i="34" s="1"/>
  <c r="AE9" i="34"/>
  <c r="AF9" i="34"/>
  <c r="AO9" i="34" s="1"/>
  <c r="AE11" i="34"/>
  <c r="AF11" i="34"/>
  <c r="AO11" i="34" s="1"/>
  <c r="AF10" i="34"/>
  <c r="AO10" i="34" s="1"/>
  <c r="AE10" i="34"/>
  <c r="AE8" i="34"/>
  <c r="AF8" i="34"/>
  <c r="AO8" i="34" s="1"/>
  <c r="AF6" i="34"/>
  <c r="AO6" i="34" s="1"/>
  <c r="AE6" i="34"/>
  <c r="O38" i="35"/>
  <c r="O37" i="35"/>
  <c r="O36" i="35"/>
  <c r="O35" i="35"/>
  <c r="O34" i="35"/>
  <c r="H26" i="35"/>
  <c r="J4" i="35" s="1"/>
  <c r="K4" i="35" s="1"/>
  <c r="AC5" i="34" s="1"/>
  <c r="C24" i="46" s="1"/>
  <c r="H27" i="35"/>
  <c r="H28" i="35"/>
  <c r="H29" i="35"/>
  <c r="H25" i="35"/>
  <c r="AZ30" i="34" l="1"/>
  <c r="AV30" i="34"/>
  <c r="P11" i="35"/>
  <c r="Q11" i="35" s="1"/>
  <c r="P10" i="35"/>
  <c r="Q10" i="35" s="1"/>
  <c r="P9" i="35"/>
  <c r="Q9" i="35" s="1"/>
  <c r="P8" i="35"/>
  <c r="Q8" i="35" s="1"/>
  <c r="P7" i="35"/>
  <c r="Q7" i="35" s="1"/>
  <c r="P6" i="35"/>
  <c r="P5" i="35"/>
  <c r="Q5" i="35" s="1"/>
  <c r="BC21" i="34"/>
  <c r="BE21" i="34" s="1"/>
  <c r="BF30" i="34"/>
  <c r="BL21" i="34"/>
  <c r="BM21" i="34"/>
  <c r="BB21" i="34"/>
  <c r="BD21" i="34" s="1"/>
  <c r="BE24" i="34"/>
  <c r="BB24" i="34"/>
  <c r="AY30" i="34"/>
  <c r="BH24" i="34"/>
  <c r="BA30" i="34"/>
  <c r="AE5" i="34"/>
  <c r="AN5" i="34" s="1"/>
  <c r="E24" i="46"/>
  <c r="AR12" i="34"/>
  <c r="BJ12" i="34" s="1"/>
  <c r="AQ12" i="34"/>
  <c r="BI12" i="34" s="1"/>
  <c r="AP12" i="34"/>
  <c r="AS12" i="34"/>
  <c r="BK12" i="34" s="1"/>
  <c r="AS11" i="34"/>
  <c r="BK11" i="34" s="1"/>
  <c r="AR11" i="34"/>
  <c r="BJ11" i="34" s="1"/>
  <c r="AQ11" i="34"/>
  <c r="BI11" i="34" s="1"/>
  <c r="AP11" i="34"/>
  <c r="AQ10" i="34"/>
  <c r="BI10" i="34" s="1"/>
  <c r="AS10" i="34"/>
  <c r="BK10" i="34" s="1"/>
  <c r="AP10" i="34"/>
  <c r="AR10" i="34"/>
  <c r="BJ10" i="34" s="1"/>
  <c r="AR9" i="34"/>
  <c r="BJ9" i="34" s="1"/>
  <c r="AP9" i="34"/>
  <c r="AS9" i="34"/>
  <c r="BK9" i="34" s="1"/>
  <c r="AQ9" i="34"/>
  <c r="BI9" i="34" s="1"/>
  <c r="AR8" i="34"/>
  <c r="BJ8" i="34" s="1"/>
  <c r="AP8" i="34"/>
  <c r="AS8" i="34"/>
  <c r="BK8" i="34" s="1"/>
  <c r="AQ8" i="34"/>
  <c r="BI8" i="34" s="1"/>
  <c r="AP6" i="34"/>
  <c r="AQ6" i="34"/>
  <c r="BI6" i="34" s="1"/>
  <c r="AR6" i="34"/>
  <c r="BJ6" i="34" s="1"/>
  <c r="AS6" i="34"/>
  <c r="BK6" i="34" s="1"/>
  <c r="AF5" i="34"/>
  <c r="AO5" i="34" s="1"/>
  <c r="AS5" i="34" s="1"/>
  <c r="BK5" i="34" s="1"/>
  <c r="J3" i="35"/>
  <c r="K3" i="35" s="1"/>
  <c r="AG9" i="34"/>
  <c r="AN9" i="34"/>
  <c r="P13" i="35"/>
  <c r="Q13" i="35" s="1"/>
  <c r="P12" i="35"/>
  <c r="Q12" i="35" s="1"/>
  <c r="P19" i="35"/>
  <c r="Q19" i="35" s="1"/>
  <c r="P4" i="35"/>
  <c r="Q4" i="35" s="1"/>
  <c r="P18" i="35"/>
  <c r="Q18" i="35" s="1"/>
  <c r="P3" i="35"/>
  <c r="Q3" i="35" s="1"/>
  <c r="P17" i="35"/>
  <c r="Q17" i="35" s="1"/>
  <c r="P16" i="35"/>
  <c r="Q16" i="35" s="1"/>
  <c r="P15" i="35"/>
  <c r="Q15" i="35" s="1"/>
  <c r="P14" i="35"/>
  <c r="Q14" i="35" s="1"/>
  <c r="AN6" i="34"/>
  <c r="AG6" i="34"/>
  <c r="AG10" i="34"/>
  <c r="AN10" i="34"/>
  <c r="AG8" i="34"/>
  <c r="AN8" i="34"/>
  <c r="AN12" i="34"/>
  <c r="AG12" i="34"/>
  <c r="AN11" i="34"/>
  <c r="AG11" i="34"/>
  <c r="K6" i="35"/>
  <c r="AC7" i="34" s="1"/>
  <c r="C25" i="46" s="1"/>
  <c r="E25" i="46" s="1"/>
  <c r="BE30" i="34" l="1"/>
  <c r="BC30" i="34"/>
  <c r="BN21" i="34"/>
  <c r="BL24" i="34"/>
  <c r="BM24" i="34"/>
  <c r="BH30" i="34"/>
  <c r="BD24" i="34"/>
  <c r="BB30" i="34"/>
  <c r="AG5" i="34"/>
  <c r="AR5" i="34"/>
  <c r="BJ5" i="34" s="1"/>
  <c r="AF7" i="34"/>
  <c r="AE7" i="34"/>
  <c r="AP5" i="34"/>
  <c r="AQ5" i="34"/>
  <c r="BI5" i="34" s="1"/>
  <c r="AT11" i="34"/>
  <c r="AV11" i="34" s="1"/>
  <c r="AT9" i="34"/>
  <c r="AV9" i="34" s="1"/>
  <c r="AU12" i="34"/>
  <c r="BG12" i="34" s="1"/>
  <c r="AU8" i="34"/>
  <c r="AZ8" i="34" s="1"/>
  <c r="BA8" i="34" s="1"/>
  <c r="AT6" i="34"/>
  <c r="AV6" i="34" s="1"/>
  <c r="AT8" i="34"/>
  <c r="AU10" i="34"/>
  <c r="AZ10" i="34" s="1"/>
  <c r="AT10" i="34"/>
  <c r="AU11" i="34"/>
  <c r="AU6" i="34"/>
  <c r="AU9" i="34"/>
  <c r="AT12" i="34"/>
  <c r="BN24" i="34" l="1"/>
  <c r="BN30" i="34" s="1"/>
  <c r="BD30" i="34"/>
  <c r="BL30" i="34"/>
  <c r="BM30" i="34"/>
  <c r="B14" i="46" s="1"/>
  <c r="AU5" i="34"/>
  <c r="AZ5" i="34" s="1"/>
  <c r="AT5" i="34"/>
  <c r="BF5" i="34" s="1"/>
  <c r="BF11" i="34"/>
  <c r="AY11" i="34"/>
  <c r="AY9" i="34"/>
  <c r="AZ12" i="34"/>
  <c r="BF9" i="34"/>
  <c r="BH8" i="34"/>
  <c r="BM8" i="34" s="1"/>
  <c r="AY6" i="34"/>
  <c r="BG8" i="34"/>
  <c r="BF6" i="34"/>
  <c r="AZ9" i="34"/>
  <c r="BA9" i="34" s="1"/>
  <c r="BG9" i="34"/>
  <c r="AV8" i="34"/>
  <c r="BF8" i="34"/>
  <c r="AY8" i="34"/>
  <c r="AV12" i="34"/>
  <c r="BF12" i="34"/>
  <c r="AY12" i="34"/>
  <c r="AZ6" i="34"/>
  <c r="BA6" i="34" s="1"/>
  <c r="BG6" i="34"/>
  <c r="BG11" i="34"/>
  <c r="AZ11" i="34"/>
  <c r="BA11" i="34" s="1"/>
  <c r="BF10" i="34"/>
  <c r="AV10" i="34"/>
  <c r="AY10" i="34"/>
  <c r="BA10" i="34"/>
  <c r="BG10" i="34"/>
  <c r="I4" i="41"/>
  <c r="G4" i="41"/>
  <c r="AY5" i="34" l="1"/>
  <c r="AV5" i="34"/>
  <c r="BG5" i="34"/>
  <c r="BA12" i="34"/>
  <c r="BH12" i="34" s="1"/>
  <c r="BL8" i="34"/>
  <c r="BB8" i="34"/>
  <c r="BD8" i="34" s="1"/>
  <c r="BC8" i="34"/>
  <c r="BE8" i="34" s="1"/>
  <c r="BA5" i="34"/>
  <c r="BH5" i="34" s="1"/>
  <c r="BH10" i="34"/>
  <c r="M4" i="34"/>
  <c r="R4" i="41"/>
  <c r="BB12" i="34" l="1"/>
  <c r="BD12" i="34" s="1"/>
  <c r="BC12" i="34"/>
  <c r="BE12" i="34" s="1"/>
  <c r="BM12" i="34"/>
  <c r="BL12" i="34"/>
  <c r="BN8" i="34"/>
  <c r="BB10" i="34"/>
  <c r="BD10" i="34" s="1"/>
  <c r="BL10" i="34"/>
  <c r="BM10" i="34"/>
  <c r="Z4" i="34"/>
  <c r="Z13" i="34" s="1"/>
  <c r="AA4" i="34"/>
  <c r="AA13" i="34" s="1"/>
  <c r="BC10" i="34"/>
  <c r="BE10" i="34" s="1"/>
  <c r="BB6" i="34"/>
  <c r="BD6" i="34" s="1"/>
  <c r="BH6" i="34"/>
  <c r="BH9" i="34"/>
  <c r="BB9" i="34"/>
  <c r="BD9" i="34" s="1"/>
  <c r="BH11" i="34"/>
  <c r="BB11" i="34"/>
  <c r="BD11" i="34" s="1"/>
  <c r="BC6" i="34"/>
  <c r="BE6" i="34" s="1"/>
  <c r="BC9" i="34"/>
  <c r="BE9" i="34" s="1"/>
  <c r="BC11" i="34"/>
  <c r="BE11" i="34" s="1"/>
  <c r="BL5" i="34"/>
  <c r="BM5" i="34"/>
  <c r="BB5" i="34"/>
  <c r="BD5" i="34" s="1"/>
  <c r="BC5" i="34"/>
  <c r="BE5" i="34" s="1"/>
  <c r="Q6" i="35"/>
  <c r="N6" i="35"/>
  <c r="H6" i="35"/>
  <c r="V7" i="34" s="1"/>
  <c r="W7" i="34" l="1"/>
  <c r="X7" i="34"/>
  <c r="AO7" i="34" s="1"/>
  <c r="AP7" i="34" s="1"/>
  <c r="BN12" i="34"/>
  <c r="BN10" i="34"/>
  <c r="BL9" i="34"/>
  <c r="BN9" i="34" s="1"/>
  <c r="BM9" i="34"/>
  <c r="BL11" i="34"/>
  <c r="BN11" i="34" s="1"/>
  <c r="BM11" i="34"/>
  <c r="BN5" i="34"/>
  <c r="BM6" i="34"/>
  <c r="BL6" i="34"/>
  <c r="BN6" i="34" s="1"/>
  <c r="AB4" i="34"/>
  <c r="T4" i="34"/>
  <c r="T13" i="34" s="1"/>
  <c r="U4" i="34"/>
  <c r="AS7" i="34" l="1"/>
  <c r="BK7" i="34" s="1"/>
  <c r="AR7" i="34"/>
  <c r="BJ7" i="34" s="1"/>
  <c r="AQ7" i="34"/>
  <c r="Y7" i="34"/>
  <c r="AG7" i="34"/>
  <c r="AN7" i="34"/>
  <c r="AC4" i="34"/>
  <c r="AE4" i="34" s="1"/>
  <c r="V4" i="34"/>
  <c r="W4" i="34" s="1"/>
  <c r="AT7" i="34" l="1"/>
  <c r="AY7" i="34" s="1"/>
  <c r="BI7" i="34"/>
  <c r="AU7" i="34"/>
  <c r="AN4" i="34"/>
  <c r="AF4" i="34"/>
  <c r="AC13" i="34"/>
  <c r="B19" i="46" s="1"/>
  <c r="X4" i="34"/>
  <c r="Q4" i="34"/>
  <c r="R4" i="34"/>
  <c r="U13" i="34"/>
  <c r="AV7" i="34" l="1"/>
  <c r="BF7" i="34"/>
  <c r="BG7" i="34"/>
  <c r="AZ7" i="34"/>
  <c r="S4" i="34"/>
  <c r="R13" i="34"/>
  <c r="Y4" i="34"/>
  <c r="Q13" i="34"/>
  <c r="AE13" i="34"/>
  <c r="AG4" i="34"/>
  <c r="AO4" i="34"/>
  <c r="V13" i="34"/>
  <c r="C19" i="46" s="1"/>
  <c r="W13" i="34"/>
  <c r="BA7" i="34" l="1"/>
  <c r="BC7" i="34" s="1"/>
  <c r="BE7" i="34" s="1"/>
  <c r="AS4" i="34"/>
  <c r="BK4" i="34" s="1"/>
  <c r="AP4" i="34"/>
  <c r="AR4" i="34"/>
  <c r="BJ4" i="34" s="1"/>
  <c r="AQ4" i="34"/>
  <c r="BI4" i="34" s="1"/>
  <c r="AF13" i="34"/>
  <c r="X13" i="34"/>
  <c r="AN13" i="34"/>
  <c r="BH7" i="34" l="1"/>
  <c r="BB7" i="34"/>
  <c r="BD7" i="34" s="1"/>
  <c r="AT4" i="34"/>
  <c r="AV4" i="34" s="1"/>
  <c r="AV13" i="34" s="1"/>
  <c r="AU4" i="34"/>
  <c r="AO13" i="34"/>
  <c r="AS13" i="34"/>
  <c r="B46" i="46" s="1"/>
  <c r="BM7" i="34" l="1"/>
  <c r="BL7" i="34"/>
  <c r="BN7" i="34" s="1"/>
  <c r="AP13" i="34"/>
  <c r="D19" i="46" s="1"/>
  <c r="BF4" i="34"/>
  <c r="AY4" i="34"/>
  <c r="AQ13" i="34"/>
  <c r="B45" i="46" s="1"/>
  <c r="AR13" i="34"/>
  <c r="AZ4" i="34"/>
  <c r="BA4" i="34" s="1"/>
  <c r="BH4" i="34" s="1"/>
  <c r="BG4" i="34"/>
  <c r="BJ13" i="34"/>
  <c r="BK13" i="34"/>
  <c r="BI13" i="34"/>
  <c r="AU13" i="34" l="1"/>
  <c r="AT13" i="34"/>
  <c r="AZ13" i="34"/>
  <c r="BB4" i="34"/>
  <c r="BD4" i="34" s="1"/>
  <c r="BM4" i="34"/>
  <c r="BL4" i="34"/>
  <c r="BA13" i="34"/>
  <c r="E19" i="46" s="1"/>
  <c r="F19" i="46" s="1"/>
  <c r="BC4" i="34"/>
  <c r="BE4" i="34" s="1"/>
  <c r="BG13" i="34" l="1"/>
  <c r="BN4" i="34"/>
  <c r="BN13" i="34" s="1"/>
  <c r="BD13" i="34"/>
  <c r="BE13" i="34"/>
  <c r="BH13" i="34"/>
  <c r="AY13" i="34"/>
  <c r="BF13" i="34"/>
  <c r="BB13" i="34"/>
  <c r="BC13" i="34"/>
  <c r="BM13" i="34" l="1"/>
  <c r="C14" i="46" s="1"/>
  <c r="D14" i="46" s="1"/>
  <c r="BL13" i="34"/>
</calcChain>
</file>

<file path=xl/comments1.xml><?xml version="1.0" encoding="utf-8"?>
<comments xmlns="http://schemas.openxmlformats.org/spreadsheetml/2006/main">
  <authors>
    <author>Zaera Garcia, Fernando</author>
  </authors>
  <commentList>
    <comment ref="F4" authorId="0" shapeId="0">
      <text>
        <r>
          <rPr>
            <sz val="9"/>
            <color indexed="81"/>
            <rFont val="Tahoma"/>
            <family val="2"/>
          </rPr>
          <t>Valors de pollitas rubia en jaula</t>
        </r>
      </text>
    </comment>
    <comment ref="G4" authorId="0" shapeId="0">
      <text>
        <r>
          <rPr>
            <sz val="9"/>
            <color indexed="81"/>
            <rFont val="Tahoma"/>
            <family val="2"/>
          </rPr>
          <t>Valors de pollitas rubia en jaula</t>
        </r>
      </text>
    </comment>
    <comment ref="F5" authorId="0" shapeId="0">
      <text>
        <r>
          <rPr>
            <sz val="9"/>
            <color indexed="81"/>
            <rFont val="Tahoma"/>
            <family val="2"/>
          </rPr>
          <t>Valors de Gallinas rubias (sin muda)</t>
        </r>
      </text>
    </comment>
    <comment ref="G5" authorId="0" shapeId="0">
      <text>
        <r>
          <rPr>
            <sz val="9"/>
            <color indexed="81"/>
            <rFont val="Tahoma"/>
            <family val="2"/>
          </rPr>
          <t>Valors de Gallinas rubias (sin muda)</t>
        </r>
      </text>
    </comment>
    <comment ref="F10" authorId="0" shapeId="0">
      <text>
        <r>
          <rPr>
            <sz val="9"/>
            <color indexed="81"/>
            <rFont val="Tahoma"/>
            <family val="2"/>
          </rPr>
          <t>valors revisats (segons Bases Zootecnicas)</t>
        </r>
      </text>
    </comment>
    <comment ref="G10" authorId="0" shapeId="0">
      <text>
        <r>
          <rPr>
            <sz val="9"/>
            <color indexed="81"/>
            <rFont val="Tahoma"/>
            <family val="2"/>
          </rPr>
          <t>valors revisats (segons Bases Zootecnicas)</t>
        </r>
      </text>
    </comment>
    <comment ref="F11" authorId="0" shapeId="0">
      <text>
        <r>
          <rPr>
            <sz val="9"/>
            <color indexed="81"/>
            <rFont val="Tahoma"/>
            <family val="2"/>
          </rPr>
          <t>valors revisats (segons Bases Zootecnicas)</t>
        </r>
      </text>
    </comment>
    <comment ref="G11" authorId="0" shapeId="0">
      <text>
        <r>
          <rPr>
            <sz val="9"/>
            <color indexed="81"/>
            <rFont val="Tahoma"/>
            <family val="2"/>
          </rPr>
          <t>valors revisats (segons Bases Zootecnicas)</t>
        </r>
      </text>
    </comment>
    <comment ref="F12" authorId="0" shapeId="0">
      <text>
        <r>
          <rPr>
            <sz val="9"/>
            <color indexed="81"/>
            <rFont val="Tahoma"/>
            <family val="2"/>
          </rPr>
          <t>valors revisats (segons Bases Zootecnicas)</t>
        </r>
      </text>
    </comment>
    <comment ref="G12" authorId="0" shapeId="0">
      <text>
        <r>
          <rPr>
            <sz val="9"/>
            <color indexed="81"/>
            <rFont val="Tahoma"/>
            <family val="2"/>
          </rPr>
          <t>valors revisats (segons Bases Zootecnicas)</t>
        </r>
      </text>
    </comment>
    <comment ref="F21" authorId="0" shapeId="0">
      <text>
        <r>
          <rPr>
            <sz val="9"/>
            <color indexed="81"/>
            <rFont val="Tahoma"/>
            <family val="2"/>
          </rPr>
          <t>Valors de pollitas rubia en jaula</t>
        </r>
      </text>
    </comment>
    <comment ref="G21" authorId="0" shapeId="0">
      <text>
        <r>
          <rPr>
            <sz val="9"/>
            <color indexed="81"/>
            <rFont val="Tahoma"/>
            <family val="2"/>
          </rPr>
          <t>Valors de pollitas rubia en jaula</t>
        </r>
      </text>
    </comment>
    <comment ref="F22" authorId="0" shapeId="0">
      <text>
        <r>
          <rPr>
            <sz val="9"/>
            <color indexed="81"/>
            <rFont val="Tahoma"/>
            <family val="2"/>
          </rPr>
          <t>Valors de Gallinas rubias (sin muda)</t>
        </r>
      </text>
    </comment>
    <comment ref="G22" authorId="0" shapeId="0">
      <text>
        <r>
          <rPr>
            <sz val="9"/>
            <color indexed="81"/>
            <rFont val="Tahoma"/>
            <family val="2"/>
          </rPr>
          <t>Valors de Gallinas rubias (sin muda)</t>
        </r>
      </text>
    </comment>
    <comment ref="F27" authorId="0" shapeId="0">
      <text>
        <r>
          <rPr>
            <sz val="9"/>
            <color indexed="81"/>
            <rFont val="Tahoma"/>
            <family val="2"/>
          </rPr>
          <t>valors revisats (segons Bases Zootecnicas)</t>
        </r>
      </text>
    </comment>
    <comment ref="G27" authorId="0" shapeId="0">
      <text>
        <r>
          <rPr>
            <sz val="9"/>
            <color indexed="81"/>
            <rFont val="Tahoma"/>
            <family val="2"/>
          </rPr>
          <t>valors revisats (segons Bases Zootecnicas)</t>
        </r>
      </text>
    </comment>
    <comment ref="F28" authorId="0" shapeId="0">
      <text>
        <r>
          <rPr>
            <sz val="9"/>
            <color indexed="81"/>
            <rFont val="Tahoma"/>
            <family val="2"/>
          </rPr>
          <t>valors revisats (segons Bases Zootecnicas)</t>
        </r>
      </text>
    </comment>
    <comment ref="G28" authorId="0" shapeId="0">
      <text>
        <r>
          <rPr>
            <sz val="9"/>
            <color indexed="81"/>
            <rFont val="Tahoma"/>
            <family val="2"/>
          </rPr>
          <t>valors revisats (segons Bases Zootecnicas)</t>
        </r>
      </text>
    </comment>
    <comment ref="F29" authorId="0" shapeId="0">
      <text>
        <r>
          <rPr>
            <sz val="9"/>
            <color indexed="81"/>
            <rFont val="Tahoma"/>
            <family val="2"/>
          </rPr>
          <t>valors revisats (segons Bases Zootecnicas)</t>
        </r>
      </text>
    </comment>
    <comment ref="G29" authorId="0" shapeId="0">
      <text>
        <r>
          <rPr>
            <sz val="9"/>
            <color indexed="81"/>
            <rFont val="Tahoma"/>
            <family val="2"/>
          </rPr>
          <t>valors revisats (segons Bases Zootecnicas)</t>
        </r>
      </text>
    </comment>
  </commentList>
</comments>
</file>

<file path=xl/comments2.xml><?xml version="1.0" encoding="utf-8"?>
<comments xmlns="http://schemas.openxmlformats.org/spreadsheetml/2006/main">
  <authors>
    <author>Zaera Garcia, Fernando</author>
  </authors>
  <commentList>
    <comment ref="W1" authorId="0" shapeId="0">
      <text>
        <r>
          <rPr>
            <b/>
            <sz val="9"/>
            <color indexed="81"/>
            <rFont val="Tahoma"/>
            <family val="2"/>
          </rPr>
          <t>EMEP 2019 Tier 1</t>
        </r>
        <r>
          <rPr>
            <sz val="9"/>
            <color indexed="81"/>
            <rFont val="Tahoma"/>
            <family val="2"/>
          </rPr>
          <t xml:space="preserve">
Per a la resta de categories s'extrapolen els FE igual que amb l'NH3.
</t>
        </r>
      </text>
    </comment>
    <comment ref="I4" authorId="0" shapeId="0">
      <text>
        <r>
          <rPr>
            <b/>
            <sz val="9"/>
            <color indexed="81"/>
            <rFont val="Tahoma"/>
            <family val="2"/>
          </rPr>
          <t xml:space="preserve">Revisat. </t>
        </r>
        <r>
          <rPr>
            <sz val="9"/>
            <color indexed="81"/>
            <rFont val="Tahoma"/>
            <family val="2"/>
          </rPr>
          <t>Inicialment 0,41 (fems tipus líquid 'slurry')</t>
        </r>
      </text>
    </comment>
    <comment ref="L4" authorId="0" shapeId="0">
      <text>
        <r>
          <rPr>
            <b/>
            <sz val="9"/>
            <color indexed="81"/>
            <rFont val="Tahoma"/>
            <family val="2"/>
          </rPr>
          <t xml:space="preserve">Revisat. </t>
        </r>
        <r>
          <rPr>
            <sz val="9"/>
            <color indexed="81"/>
            <rFont val="Tahoma"/>
            <family val="2"/>
          </rPr>
          <t>Inicialment 0,14 (fems tipus líquid 'slurry')</t>
        </r>
      </text>
    </comment>
    <comment ref="O4" authorId="0" shapeId="0">
      <text>
        <r>
          <rPr>
            <b/>
            <sz val="9"/>
            <color indexed="81"/>
            <rFont val="Tahoma"/>
            <family val="2"/>
          </rPr>
          <t xml:space="preserve">Revisat. </t>
        </r>
        <r>
          <rPr>
            <sz val="9"/>
            <color indexed="81"/>
            <rFont val="Tahoma"/>
            <family val="2"/>
          </rPr>
          <t>Inicialment 0,69 (fems tipus líquid 'slurry')</t>
        </r>
      </text>
    </comment>
    <comment ref="I6" authorId="0" shapeId="0">
      <text>
        <r>
          <rPr>
            <b/>
            <sz val="9"/>
            <color indexed="81"/>
            <rFont val="Tahoma"/>
            <family val="2"/>
          </rPr>
          <t xml:space="preserve">Revisat. </t>
        </r>
        <r>
          <rPr>
            <sz val="9"/>
            <color indexed="81"/>
            <rFont val="Tahoma"/>
            <family val="2"/>
          </rPr>
          <t>Inicialment 0,41 (fems tipus líquid 'slurry')</t>
        </r>
      </text>
    </comment>
    <comment ref="L6" authorId="0" shapeId="0">
      <text>
        <r>
          <rPr>
            <b/>
            <sz val="9"/>
            <color indexed="81"/>
            <rFont val="Tahoma"/>
            <family val="2"/>
          </rPr>
          <t xml:space="preserve">Revisat. </t>
        </r>
        <r>
          <rPr>
            <sz val="9"/>
            <color indexed="81"/>
            <rFont val="Tahoma"/>
            <family val="2"/>
          </rPr>
          <t>Inicialment 0,14 (fems tipus líquid 'slurry')</t>
        </r>
      </text>
    </comment>
    <comment ref="O6" authorId="0" shapeId="0">
      <text>
        <r>
          <rPr>
            <b/>
            <sz val="9"/>
            <color indexed="81"/>
            <rFont val="Tahoma"/>
            <family val="2"/>
          </rPr>
          <t xml:space="preserve">Revisat. </t>
        </r>
        <r>
          <rPr>
            <sz val="9"/>
            <color indexed="81"/>
            <rFont val="Tahoma"/>
            <family val="2"/>
          </rPr>
          <t>Inicialment 0,69 (fems tipus líquid 'slurry')</t>
        </r>
      </text>
    </comment>
    <comment ref="I8" authorId="0" shapeId="0">
      <text>
        <r>
          <rPr>
            <b/>
            <sz val="9"/>
            <color indexed="81"/>
            <rFont val="Tahoma"/>
            <family val="2"/>
          </rPr>
          <t xml:space="preserve">Revisat. </t>
        </r>
        <r>
          <rPr>
            <sz val="9"/>
            <color indexed="81"/>
            <rFont val="Tahoma"/>
            <family val="2"/>
          </rPr>
          <t>Inicialment 0,41 (fems tipus líquid 'slurry')</t>
        </r>
      </text>
    </comment>
    <comment ref="L8" authorId="0" shapeId="0">
      <text>
        <r>
          <rPr>
            <b/>
            <sz val="9"/>
            <color indexed="81"/>
            <rFont val="Tahoma"/>
            <family val="2"/>
          </rPr>
          <t xml:space="preserve">Revisat. </t>
        </r>
        <r>
          <rPr>
            <sz val="9"/>
            <color indexed="81"/>
            <rFont val="Tahoma"/>
            <family val="2"/>
          </rPr>
          <t>Inicialment 0,14 (fems tipus líquid 'slurry')</t>
        </r>
      </text>
    </comment>
    <comment ref="O8" authorId="0" shapeId="0">
      <text>
        <r>
          <rPr>
            <b/>
            <sz val="9"/>
            <color indexed="81"/>
            <rFont val="Tahoma"/>
            <family val="2"/>
          </rPr>
          <t xml:space="preserve">Revisat. </t>
        </r>
        <r>
          <rPr>
            <sz val="9"/>
            <color indexed="81"/>
            <rFont val="Tahoma"/>
            <family val="2"/>
          </rPr>
          <t>Inicialment 0,69 (fems tipus líquid 'slurry')</t>
        </r>
      </text>
    </comment>
  </commentList>
</comments>
</file>

<file path=xl/comments3.xml><?xml version="1.0" encoding="utf-8"?>
<comments xmlns="http://schemas.openxmlformats.org/spreadsheetml/2006/main">
  <authors>
    <author>Zaera Garcia, Fernando</author>
  </authors>
  <commentList>
    <comment ref="C11" authorId="0" shapeId="0">
      <text>
        <r>
          <rPr>
            <b/>
            <sz val="9"/>
            <color indexed="81"/>
            <rFont val="Tahoma"/>
            <family val="2"/>
          </rPr>
          <t xml:space="preserve">nova opció GT MTD
</t>
        </r>
      </text>
    </comment>
  </commentList>
</comments>
</file>

<file path=xl/sharedStrings.xml><?xml version="1.0" encoding="utf-8"?>
<sst xmlns="http://schemas.openxmlformats.org/spreadsheetml/2006/main" count="834" uniqueCount="381">
  <si>
    <t>BUILD</t>
  </si>
  <si>
    <t>GRAZING</t>
  </si>
  <si>
    <t>CHECK</t>
  </si>
  <si>
    <t>SÍ</t>
  </si>
  <si>
    <t>NO</t>
  </si>
  <si>
    <t>Kg N</t>
  </si>
  <si>
    <t>CAT_AA</t>
  </si>
  <si>
    <t>N_AA</t>
  </si>
  <si>
    <t>x_YARD</t>
  </si>
  <si>
    <t>x_BUILD</t>
  </si>
  <si>
    <t>x_GRAZ</t>
  </si>
  <si>
    <t>N_GRAZ</t>
  </si>
  <si>
    <t>TAN_GRAZ</t>
  </si>
  <si>
    <t>kg N</t>
  </si>
  <si>
    <t>EE_GRAZ</t>
  </si>
  <si>
    <t>kg  N-NH3</t>
  </si>
  <si>
    <t>Kg N-NH3</t>
  </si>
  <si>
    <t>FE_BUILD_solid</t>
  </si>
  <si>
    <t>FE_STORAGE_solid</t>
  </si>
  <si>
    <t>FEc_BUILD_solid</t>
  </si>
  <si>
    <t>FR_STORAGE_solid</t>
  </si>
  <si>
    <t>FEc_STORAGE_solid</t>
  </si>
  <si>
    <t>FE_APPLIED_solid</t>
  </si>
  <si>
    <t>FR_APPLIED_solid</t>
  </si>
  <si>
    <t>FEc_APPLIED_solid</t>
  </si>
  <si>
    <t>x_TAN-T</t>
  </si>
  <si>
    <t>kg N-TAN</t>
  </si>
  <si>
    <t>N_ret_GRAZ</t>
  </si>
  <si>
    <t>N excreted</t>
  </si>
  <si>
    <t>SPECIE</t>
  </si>
  <si>
    <t>CHECK-2</t>
  </si>
  <si>
    <t>Nex_T</t>
  </si>
  <si>
    <t>X_BUILD_solid</t>
  </si>
  <si>
    <t>X_BUILD_slurry</t>
  </si>
  <si>
    <t>N_BUILD_solid</t>
  </si>
  <si>
    <t>TAN_BUILD_solid</t>
  </si>
  <si>
    <t>BUILD-solid</t>
  </si>
  <si>
    <t>EE_BUILD_solid</t>
  </si>
  <si>
    <t>kg N / AA</t>
  </si>
  <si>
    <t xml:space="preserve">N_exBUILD_solid </t>
  </si>
  <si>
    <t>TAN_exBUILD_solid</t>
  </si>
  <si>
    <t>x_exBUILD_solid-to-FIELD_solid</t>
  </si>
  <si>
    <t>DISTRIBUTION_exBUILD_solid</t>
  </si>
  <si>
    <t>N Distribution</t>
  </si>
  <si>
    <t>x_exBUILD_solid-to-STORE_solid</t>
  </si>
  <si>
    <t>N_STORE_solid</t>
  </si>
  <si>
    <t>TAN_STORE_solid</t>
  </si>
  <si>
    <t>EE_NH3_STORE_solid</t>
  </si>
  <si>
    <t>EE_N2O_STORE_solid</t>
  </si>
  <si>
    <t>EE_N2_STORE_solid</t>
  </si>
  <si>
    <t>N_FIELD_solid</t>
  </si>
  <si>
    <t>TAN_FIELD_solid</t>
  </si>
  <si>
    <t>EE_FIELD_solid</t>
  </si>
  <si>
    <t>N_OTHERS_solid</t>
  </si>
  <si>
    <t>N_ret_YARD</t>
  </si>
  <si>
    <t>N_ret_STORE_solid</t>
  </si>
  <si>
    <t>OTHERS</t>
  </si>
  <si>
    <t>STORAGE_solid</t>
  </si>
  <si>
    <t>APPLIED_ solid</t>
  </si>
  <si>
    <t>TAN_total</t>
  </si>
  <si>
    <t>x_STORE_solid-to-FIELD_solid</t>
  </si>
  <si>
    <t>kg N-NH3</t>
  </si>
  <si>
    <t>kg  N2O</t>
  </si>
  <si>
    <t>kg  N2</t>
  </si>
  <si>
    <t>TOTAL ANIMALES EN GRANJA</t>
  </si>
  <si>
    <t>FR_GRAZING</t>
  </si>
  <si>
    <t>Fec_GRAZING</t>
  </si>
  <si>
    <t>x_exBUILD_solid-to-OTHERS</t>
  </si>
  <si>
    <t>N_ret_BUILD_solid</t>
  </si>
  <si>
    <t>x_exBUILD_solid-to-OTHER</t>
  </si>
  <si>
    <t>x_YARD-to-STORE_solid</t>
  </si>
  <si>
    <t>x_YARD-to-FIELD_solid</t>
  </si>
  <si>
    <t>x_YARD-to-OTHERS</t>
  </si>
  <si>
    <t>TAN_ret_BUILD_solid</t>
  </si>
  <si>
    <t>TAN_ret_STORE_solid</t>
  </si>
  <si>
    <t>TAN_ex_STORE_solid</t>
  </si>
  <si>
    <t>STORE_solid (kg N)</t>
  </si>
  <si>
    <t>N_ex_STORE_solid</t>
  </si>
  <si>
    <t>kg N2O</t>
  </si>
  <si>
    <t>kg N2</t>
  </si>
  <si>
    <t>kg NO</t>
  </si>
  <si>
    <t>x_STORE_slurry-to-OTHERS</t>
  </si>
  <si>
    <t>DISTRIBUCION_STORE_solid</t>
  </si>
  <si>
    <t>FIELD_solid</t>
  </si>
  <si>
    <t xml:space="preserve">kg N </t>
  </si>
  <si>
    <t>kg</t>
  </si>
  <si>
    <t>N_ret_FIELD_solid</t>
  </si>
  <si>
    <t>N_ex_FIELD_solid</t>
  </si>
  <si>
    <t>TAN_ret_FIELD_solid</t>
  </si>
  <si>
    <t>TAN_ex_FIELD_solid</t>
  </si>
  <si>
    <t>FIELD TOTAL</t>
  </si>
  <si>
    <t>N_ret_FIELD_total</t>
  </si>
  <si>
    <t>N_ex_SFIELD_total</t>
  </si>
  <si>
    <t>TAN_ret_FIELD_total</t>
  </si>
  <si>
    <t>TAN_ex_FIELD_total</t>
  </si>
  <si>
    <t>EE N-N2</t>
  </si>
  <si>
    <t>EE N-N2O</t>
  </si>
  <si>
    <t>EE-NH3</t>
  </si>
  <si>
    <t>EE N-TOTAL</t>
  </si>
  <si>
    <t>(PM=28,01)</t>
  </si>
  <si>
    <t>(PM=44,03)</t>
  </si>
  <si>
    <t>(PM=30,01)</t>
  </si>
  <si>
    <t>kg NH3</t>
  </si>
  <si>
    <t>TAN-T</t>
  </si>
  <si>
    <t>CHECK-1</t>
  </si>
  <si>
    <t>CHECK-3</t>
  </si>
  <si>
    <t>CHECK-4</t>
  </si>
  <si>
    <t>CHECK-5</t>
  </si>
  <si>
    <t>DISTRIBUTION_BUILD</t>
  </si>
  <si>
    <t>DISTRIBUTION_Excrete</t>
  </si>
  <si>
    <t>N_Straw</t>
  </si>
  <si>
    <t>DISTRIBUTION_STORE_solid</t>
  </si>
  <si>
    <t>x_STORE_solid-to-OTHERS</t>
  </si>
  <si>
    <t>STRAW_exBUILD_solid  (kgN)</t>
  </si>
  <si>
    <t>N_STRAW</t>
  </si>
  <si>
    <t>EE N-NH3 TOTAL</t>
  </si>
  <si>
    <t>(PM=17)</t>
  </si>
  <si>
    <t>TOTALS</t>
  </si>
  <si>
    <t>F.R.</t>
  </si>
  <si>
    <t>NH3 REDUCTIONS AND EMISSION FACTORS ACCORDING TO MANAGEMENT TECHNIQUES</t>
  </si>
  <si>
    <t>GROSS PROTEIN</t>
  </si>
  <si>
    <t>EE N-NOx</t>
  </si>
  <si>
    <t>EE_NOx_STORE_solid</t>
  </si>
  <si>
    <t>kg  NOx</t>
  </si>
  <si>
    <t>YARD_solid</t>
  </si>
  <si>
    <t>FE_YARD_solid</t>
  </si>
  <si>
    <t>FR_YARD_solid</t>
  </si>
  <si>
    <t>Fec_YARD_solid</t>
  </si>
  <si>
    <t>FR_BUILD_solid</t>
  </si>
  <si>
    <t>APORTACION DE PAJA, SERRIN, VIRUTAS,…</t>
  </si>
  <si>
    <t>DISTRIBUTION_YARD_solid</t>
  </si>
  <si>
    <t>Nex_Urine</t>
  </si>
  <si>
    <t>TAN_GRAZING_solid</t>
  </si>
  <si>
    <t>N_YARD_solid</t>
  </si>
  <si>
    <t>TAN_YARD_solid</t>
  </si>
  <si>
    <t>EE_YARD_solid</t>
  </si>
  <si>
    <t>DISTRIBUCION_YARD_solid</t>
  </si>
  <si>
    <t>Densidad (pollo/m2)</t>
  </si>
  <si>
    <t>Superficie (cm2/pollo)</t>
  </si>
  <si>
    <t>Superficie (m2/pollo)</t>
  </si>
  <si>
    <t>Volumen (cm3/pollo)</t>
  </si>
  <si>
    <t>Datos obtenidos por Com. Pers. MAPAMA:</t>
  </si>
  <si>
    <t>La Directiva 1999/74/CE establece unos mínimos de</t>
  </si>
  <si>
    <t>250 cm2 de yacija por gallina</t>
  </si>
  <si>
    <t>550 cm2 de jaula no acondicionada por gallina</t>
  </si>
  <si>
    <t>750 cm2 de jaula acondicionada por gallina</t>
  </si>
  <si>
    <t>Densidad paja cereal (kg/m3)</t>
  </si>
  <si>
    <t>Densidad paja cereal (kg/cm3)</t>
  </si>
  <si>
    <t>Contenido N en paja cereal (kg/kg)</t>
  </si>
  <si>
    <t>Densidad (kg pollo/m2)</t>
  </si>
  <si>
    <t>Datos de consulta bibliográfica:</t>
  </si>
  <si>
    <t>Min</t>
  </si>
  <si>
    <t>Max</t>
  </si>
  <si>
    <t>Media</t>
  </si>
  <si>
    <t>AVES PUESTA</t>
  </si>
  <si>
    <t>Gallinas blancas en jaula - 1er ciclo (muda)</t>
  </si>
  <si>
    <t>Gallinas blancas en jaula - muda</t>
  </si>
  <si>
    <t>Gallinas blancas en jaula - 2º ciclo</t>
  </si>
  <si>
    <t>Pollitas rubias en jaula</t>
  </si>
  <si>
    <t>Gallinas rubias en jaula - 1er ciclo</t>
  </si>
  <si>
    <t>Gallinas rubias en jaula - 1er ciclo (muda)</t>
  </si>
  <si>
    <t>Gallinas rubias en jaula - muda</t>
  </si>
  <si>
    <t>Gallinas rubias
en jaula - 2º ciclo</t>
  </si>
  <si>
    <t>Pollitas camperas</t>
  </si>
  <si>
    <t>Gallinas camperas</t>
  </si>
  <si>
    <t>kg N-TAN/AA</t>
  </si>
  <si>
    <t>kg N/AA</t>
  </si>
  <si>
    <t>kg N-NH3/AA</t>
  </si>
  <si>
    <t>Nex_T / AA</t>
  </si>
  <si>
    <t>nº plazas</t>
  </si>
  <si>
    <t>(kg/año)</t>
  </si>
  <si>
    <r>
      <t>FE_GRAZING
EF</t>
    </r>
    <r>
      <rPr>
        <vertAlign val="subscript"/>
        <sz val="11"/>
        <color theme="1"/>
        <rFont val="Calibri"/>
        <family val="2"/>
        <scheme val="minor"/>
      </rPr>
      <t>TIER I</t>
    </r>
  </si>
  <si>
    <t>GALLINES I POLLASTRES D'ENGREIX</t>
  </si>
  <si>
    <t>Polletes de recria en gàbia</t>
  </si>
  <si>
    <t>Polletes de recria al sòl</t>
  </si>
  <si>
    <t>Polletes de recria camperes</t>
  </si>
  <si>
    <t>Gallines ponedores en gàbia</t>
  </si>
  <si>
    <t>Gallines ponedores al sòl</t>
  </si>
  <si>
    <t>Gallines ponedores camperes</t>
  </si>
  <si>
    <t>Pollastres d'engreix</t>
  </si>
  <si>
    <t>Polletes de recria carn</t>
  </si>
  <si>
    <t>Gallines reproductores carn</t>
  </si>
  <si>
    <t>Marca Oficial</t>
  </si>
  <si>
    <t>IDQA:</t>
  </si>
  <si>
    <t>Dades de l'any:</t>
  </si>
  <si>
    <t>Nom explotació:</t>
  </si>
  <si>
    <t>Titular:</t>
  </si>
  <si>
    <t>POSTA D'OUS</t>
  </si>
  <si>
    <t>ENGREIX</t>
  </si>
  <si>
    <t>GALLINES PER A POSTA D'OUS</t>
  </si>
  <si>
    <t>Places Categories productives</t>
  </si>
  <si>
    <t>Indiqui el cens mitjà anual de cada categoria</t>
  </si>
  <si>
    <t>Si s'aplica un únic sistema d'allotjament per a tots els animals, marcar la mateixa opció en totes les categories. En cas contrari, diferenciar per categoria.</t>
  </si>
  <si>
    <t>Fase 2. Emmagatzematge de purins</t>
  </si>
  <si>
    <t>Escollir el sistema utlitzat  diferenciant, si procedeix, per categoria animal.</t>
  </si>
  <si>
    <t>Escollir el sistema utiltizat a l'explotació diferenciant, si procedeix, per categoria animal.</t>
  </si>
  <si>
    <t>Fase 4. Aplicació de fems al camp</t>
  </si>
  <si>
    <t>CATEGORIES PRODUCTIVES</t>
  </si>
  <si>
    <t>ALLOTJAMENT D'ANIMALS I EVACUACIÓ FEMS</t>
  </si>
  <si>
    <t>DESTÍ DELS FEMS</t>
  </si>
  <si>
    <t>EMMAGATZEMATGE DELS FEMS</t>
  </si>
  <si>
    <t>DESTÍ DELS FEMS DESPRÉS DE L'EMMAGATZEMATGE</t>
  </si>
  <si>
    <t>APLICACIÓ DELS FEMS AL CAMP</t>
  </si>
  <si>
    <t>En cas d'exisitir diferents sistemes, escollir per a cada categoria animal el més representatiu o semblant.</t>
  </si>
  <si>
    <t>En el cas d'haver diferents destins, indiqui el majoritari.</t>
  </si>
  <si>
    <t>Destí dels fems</t>
  </si>
  <si>
    <t>Magatzem obert, sense cobrir</t>
  </si>
  <si>
    <t>Magatzem cobert amb materials rígids o flexibles</t>
  </si>
  <si>
    <t>A emmagatzematge</t>
  </si>
  <si>
    <t>Al camp o terreny agrícola</t>
  </si>
  <si>
    <t>A altres usos no agraris</t>
  </si>
  <si>
    <t>TOTAL ANIMALS GRANJA</t>
  </si>
  <si>
    <t>(eliminat)</t>
  </si>
  <si>
    <t>AA / PP</t>
  </si>
  <si>
    <t>nº an. / PP</t>
  </si>
  <si>
    <t>nº animals</t>
  </si>
  <si>
    <t>Categories en gris sense sortida a pati; per tant valors = 0</t>
  </si>
  <si>
    <t>Marca Oficial:</t>
  </si>
  <si>
    <t>MTD 23</t>
  </si>
  <si>
    <t>Reducció de les emissions d'amoníac a tot el procés</t>
  </si>
  <si>
    <t>Emissions kg NH3 pitjor escenari (A)</t>
  </si>
  <si>
    <t>Emissions kg NH3 explotació (B)</t>
  </si>
  <si>
    <r>
      <t xml:space="preserve">Reducció kg NH3
</t>
    </r>
    <r>
      <rPr>
        <sz val="12"/>
        <color theme="1"/>
        <rFont val="Calibri"/>
        <family val="2"/>
        <scheme val="minor"/>
      </rPr>
      <t>(A-B)</t>
    </r>
  </si>
  <si>
    <t>MTD 25</t>
  </si>
  <si>
    <t>Es mostren les emissions calculades segons les tècniques emprades als diferents espais: naus, emmagatzematge i aplicació al camp</t>
  </si>
  <si>
    <r>
      <t>NH</t>
    </r>
    <r>
      <rPr>
        <vertAlign val="subscript"/>
        <sz val="10"/>
        <color theme="0"/>
        <rFont val="Calibri"/>
        <family val="2"/>
        <scheme val="minor"/>
      </rPr>
      <t>3</t>
    </r>
    <r>
      <rPr>
        <sz val="10"/>
        <color theme="0"/>
        <rFont val="Calibri"/>
        <family val="2"/>
        <scheme val="minor"/>
      </rPr>
      <t xml:space="preserve"> naus</t>
    </r>
  </si>
  <si>
    <r>
      <t>NH</t>
    </r>
    <r>
      <rPr>
        <vertAlign val="subscript"/>
        <sz val="10"/>
        <color theme="0"/>
        <rFont val="Calibri"/>
        <family val="2"/>
        <scheme val="minor"/>
      </rPr>
      <t>3</t>
    </r>
    <r>
      <rPr>
        <sz val="10"/>
        <color theme="0"/>
        <rFont val="Calibri"/>
        <family val="2"/>
        <scheme val="minor"/>
      </rPr>
      <t xml:space="preserve"> emmagatzematge</t>
    </r>
  </si>
  <si>
    <r>
      <t>NH</t>
    </r>
    <r>
      <rPr>
        <vertAlign val="subscript"/>
        <sz val="10"/>
        <color theme="0"/>
        <rFont val="Calibri"/>
        <family val="2"/>
        <scheme val="minor"/>
      </rPr>
      <t>3</t>
    </r>
    <r>
      <rPr>
        <sz val="10"/>
        <color theme="0"/>
        <rFont val="Calibri"/>
        <family val="2"/>
        <scheme val="minor"/>
      </rPr>
      <t xml:space="preserve">  aplicació al camp</t>
    </r>
  </si>
  <si>
    <r>
      <t>NH</t>
    </r>
    <r>
      <rPr>
        <b/>
        <vertAlign val="subscript"/>
        <sz val="10"/>
        <color theme="0"/>
        <rFont val="Calibri"/>
        <family val="2"/>
        <scheme val="minor"/>
      </rPr>
      <t>3</t>
    </r>
    <r>
      <rPr>
        <b/>
        <sz val="10"/>
        <color theme="0"/>
        <rFont val="Calibri"/>
        <family val="2"/>
        <scheme val="minor"/>
      </rPr>
      <t xml:space="preserve">  total</t>
    </r>
  </si>
  <si>
    <t>total kg NH3 explotació</t>
  </si>
  <si>
    <t>Categoria</t>
  </si>
  <si>
    <t>Comprovació</t>
  </si>
  <si>
    <t xml:space="preserve">MTD27 </t>
  </si>
  <si>
    <r>
      <t>N</t>
    </r>
    <r>
      <rPr>
        <vertAlign val="subscript"/>
        <sz val="11"/>
        <color theme="1"/>
        <rFont val="Calibri"/>
        <family val="2"/>
        <scheme val="minor"/>
      </rPr>
      <t>2</t>
    </r>
    <r>
      <rPr>
        <sz val="11"/>
        <color theme="1"/>
        <rFont val="Calibri"/>
        <family val="2"/>
        <scheme val="minor"/>
      </rPr>
      <t>O total</t>
    </r>
  </si>
  <si>
    <r>
      <t>kg N</t>
    </r>
    <r>
      <rPr>
        <vertAlign val="subscript"/>
        <sz val="11"/>
        <color theme="1"/>
        <rFont val="Calibri"/>
        <family val="2"/>
        <scheme val="minor"/>
      </rPr>
      <t>2</t>
    </r>
    <r>
      <rPr>
        <sz val="11"/>
        <color theme="1"/>
        <rFont val="Calibri"/>
        <family val="2"/>
        <scheme val="minor"/>
      </rPr>
      <t>O/any</t>
    </r>
  </si>
  <si>
    <r>
      <t>NO</t>
    </r>
    <r>
      <rPr>
        <vertAlign val="subscript"/>
        <sz val="11"/>
        <color theme="1"/>
        <rFont val="Calibri"/>
        <family val="2"/>
        <scheme val="minor"/>
      </rPr>
      <t>x</t>
    </r>
    <r>
      <rPr>
        <sz val="11"/>
        <color theme="1"/>
        <rFont val="Calibri"/>
        <family val="2"/>
        <scheme val="minor"/>
      </rPr>
      <t xml:space="preserve">  total</t>
    </r>
  </si>
  <si>
    <r>
      <t>kg NO</t>
    </r>
    <r>
      <rPr>
        <vertAlign val="subscript"/>
        <sz val="11"/>
        <color theme="1"/>
        <rFont val="Calibri"/>
        <family val="2"/>
        <scheme val="minor"/>
      </rPr>
      <t>x</t>
    </r>
    <r>
      <rPr>
        <sz val="11"/>
        <color theme="1"/>
        <rFont val="Calibri"/>
        <family val="2"/>
        <scheme val="minor"/>
      </rPr>
      <t>/any</t>
    </r>
  </si>
  <si>
    <t>Engreix de pollastres</t>
  </si>
  <si>
    <t>Supervisió dels Nivells d'Emissió Associats (NEA) a les MTD 31 (ponedores) i 32 (engreix)</t>
  </si>
  <si>
    <t>MTD 31 i 32</t>
  </si>
  <si>
    <r>
      <t xml:space="preserve">0.02 - </t>
    </r>
    <r>
      <rPr>
        <b/>
        <sz val="11"/>
        <color theme="1"/>
        <rFont val="Calibri"/>
        <family val="2"/>
        <scheme val="minor"/>
      </rPr>
      <t>0.08</t>
    </r>
  </si>
  <si>
    <r>
      <t xml:space="preserve">0.01 - </t>
    </r>
    <r>
      <rPr>
        <b/>
        <sz val="11"/>
        <color theme="1"/>
        <rFont val="Calibri"/>
        <family val="2"/>
        <scheme val="minor"/>
      </rPr>
      <t>0.08</t>
    </r>
  </si>
  <si>
    <r>
      <t>Supervisió emissió amoníac (NH</t>
    </r>
    <r>
      <rPr>
        <b/>
        <vertAlign val="subscript"/>
        <sz val="12"/>
        <color theme="1"/>
        <rFont val="Calibri"/>
        <family val="2"/>
        <scheme val="minor"/>
      </rPr>
      <t>3</t>
    </r>
    <r>
      <rPr>
        <b/>
        <sz val="12"/>
        <color theme="1"/>
        <rFont val="Calibri"/>
        <family val="2"/>
        <scheme val="minor"/>
      </rPr>
      <t>)</t>
    </r>
  </si>
  <si>
    <r>
      <t>NH</t>
    </r>
    <r>
      <rPr>
        <vertAlign val="subscript"/>
        <sz val="10"/>
        <color theme="0"/>
        <rFont val="Calibri"/>
        <family val="2"/>
        <scheme val="minor"/>
      </rPr>
      <t>3</t>
    </r>
    <r>
      <rPr>
        <sz val="10"/>
        <color theme="0"/>
        <rFont val="Calibri"/>
        <family val="2"/>
        <scheme val="minor"/>
      </rPr>
      <t xml:space="preserve"> patis</t>
    </r>
  </si>
  <si>
    <t>reducció total kg NH3 a tot el procés</t>
  </si>
  <si>
    <t xml:space="preserve">RESULTATS - SUPERVISIÓ Millors Tècniques Disponibles </t>
  </si>
  <si>
    <t>-</t>
  </si>
  <si>
    <t>Ponedores en gàbies</t>
  </si>
  <si>
    <t>Ponedores al sòl</t>
  </si>
  <si>
    <t>Ponedores camperes</t>
  </si>
  <si>
    <r>
      <t xml:space="preserve">0.2 - </t>
    </r>
    <r>
      <rPr>
        <b/>
        <sz val="11"/>
        <color theme="1"/>
        <rFont val="Calibri"/>
        <family val="2"/>
        <scheme val="minor"/>
      </rPr>
      <t xml:space="preserve">0.13 </t>
    </r>
    <r>
      <rPr>
        <b/>
        <vertAlign val="superscript"/>
        <sz val="11"/>
        <color theme="1"/>
        <rFont val="Calibri"/>
        <family val="2"/>
        <scheme val="minor"/>
      </rPr>
      <t>(1)</t>
    </r>
  </si>
  <si>
    <t>Gàbies sense condicionar / SENSE ASSECATGE de la gallinassa</t>
  </si>
  <si>
    <t>Gàbies sense condicionar / AMB ASSECATGE de la gallinassa</t>
  </si>
  <si>
    <t>Gàbies sense condicionar / Gallinassa retirada immediatament amb cinta cap a magatzem tancat</t>
  </si>
  <si>
    <t>Gàbies condicionades i retirada de la gallinassa amb cinta 2 cops per setmana</t>
  </si>
  <si>
    <t>Gàbies condicionades amb cinta, assecatge i retirada de la gallinassa 2 cops per setmana</t>
  </si>
  <si>
    <t>Gàbies condicionades amb cinta, assecatge i retirada de la gallinassa més de 2 cops per setmana</t>
  </si>
  <si>
    <t>Gàbies amb sistemes de depuració d’aire</t>
  </si>
  <si>
    <t>Aplicació al camp sense incorporació dins del sòl</t>
  </si>
  <si>
    <t>Aplicació al camp amb incorporació immediata dins del sòl</t>
  </si>
  <si>
    <t xml:space="preserve">Incorporació immediatament dins del sòl mitjançant arada de discs </t>
  </si>
  <si>
    <t>Incorporació dins del sòl en menys de 4 hores des de l’aplicació</t>
  </si>
  <si>
    <t>Incorporació dins del sòl en més de 4 hores des de l’aplicació</t>
  </si>
  <si>
    <t>Polletes de recria al sòl, sense pati</t>
  </si>
  <si>
    <t>Gallines ponedores al sòl, sense pati</t>
  </si>
  <si>
    <t>Cria al terra amb jaç profund</t>
  </si>
  <si>
    <t>Aviaris amb perxes i retirada de la gallinassa amb cinta AMB ASSECATGE</t>
  </si>
  <si>
    <t>Aviaris amb perxes i retirada de la gallinassa amb cinta SENSE ASSECATGE</t>
  </si>
  <si>
    <t>Cria al terra amb jaç, engraellat parcial i cintes d’evacuació</t>
  </si>
  <si>
    <t>Cria al terra amb jaç amb assecatge forçat</t>
  </si>
  <si>
    <t>kg PST</t>
  </si>
  <si>
    <r>
      <t>kg PM</t>
    </r>
    <r>
      <rPr>
        <vertAlign val="subscript"/>
        <sz val="11"/>
        <color theme="1"/>
        <rFont val="Calibri"/>
        <family val="2"/>
        <scheme val="minor"/>
      </rPr>
      <t>10</t>
    </r>
  </si>
  <si>
    <t>EE PST</t>
  </si>
  <si>
    <t>FE Partícules</t>
  </si>
  <si>
    <r>
      <t>EE PM</t>
    </r>
    <r>
      <rPr>
        <b/>
        <vertAlign val="subscript"/>
        <sz val="12"/>
        <color theme="1"/>
        <rFont val="Calibri"/>
        <family val="2"/>
        <scheme val="minor"/>
      </rPr>
      <t>10</t>
    </r>
  </si>
  <si>
    <r>
      <t>kg PM</t>
    </r>
    <r>
      <rPr>
        <vertAlign val="subscript"/>
        <sz val="12"/>
        <color theme="1"/>
        <rFont val="Calibri"/>
        <family val="2"/>
        <scheme val="minor"/>
      </rPr>
      <t>10</t>
    </r>
  </si>
  <si>
    <t>Tier 1 EMEP 2019</t>
  </si>
  <si>
    <r>
      <t>PM</t>
    </r>
    <r>
      <rPr>
        <vertAlign val="subscript"/>
        <sz val="11"/>
        <color theme="1"/>
        <rFont val="Calibri"/>
        <family val="2"/>
        <scheme val="minor"/>
      </rPr>
      <t>10</t>
    </r>
  </si>
  <si>
    <t>És la comparativa de les emissions de referència sense técniques de reducció ('A': pitjor escenari) respecte les emissions calculades d'acord amb les tècniques seleccionades a l'explotació (B)</t>
  </si>
  <si>
    <t>Es mostren les emissions de PST calculades de cada categoria</t>
  </si>
  <si>
    <r>
      <t>kg PM</t>
    </r>
    <r>
      <rPr>
        <vertAlign val="subscript"/>
        <sz val="11"/>
        <color theme="1"/>
        <rFont val="Calibri"/>
        <family val="2"/>
        <scheme val="minor"/>
      </rPr>
      <t>10</t>
    </r>
    <r>
      <rPr>
        <sz val="11"/>
        <color theme="1"/>
        <rFont val="Calibri"/>
        <family val="2"/>
        <scheme val="minor"/>
      </rPr>
      <t>/any</t>
    </r>
  </si>
  <si>
    <r>
      <t xml:space="preserve">NÚM. PLACES/ANY </t>
    </r>
    <r>
      <rPr>
        <b/>
        <sz val="8"/>
        <color theme="1"/>
        <rFont val="Calibri"/>
        <family val="2"/>
        <scheme val="minor"/>
      </rPr>
      <t>(cens mitjà anual)</t>
    </r>
  </si>
  <si>
    <t>TOTAL</t>
  </si>
  <si>
    <t>G-1-0</t>
  </si>
  <si>
    <t>G-1-A</t>
  </si>
  <si>
    <t>G-1-B</t>
  </si>
  <si>
    <t>G-1-C</t>
  </si>
  <si>
    <t>G-1-D</t>
  </si>
  <si>
    <t>G-1-E</t>
  </si>
  <si>
    <t>G-1-F</t>
  </si>
  <si>
    <t>G-1-G</t>
  </si>
  <si>
    <t>G-1-I</t>
  </si>
  <si>
    <t>G-1-J</t>
  </si>
  <si>
    <t>G-1-K</t>
  </si>
  <si>
    <t>G-1-L</t>
  </si>
  <si>
    <t>G-1-N</t>
  </si>
  <si>
    <t>G-2-0</t>
  </si>
  <si>
    <t>G-2-A</t>
  </si>
  <si>
    <t>G-3-0</t>
  </si>
  <si>
    <t>G-3-A</t>
  </si>
  <si>
    <t>G-3-B</t>
  </si>
  <si>
    <t>G-3-C</t>
  </si>
  <si>
    <t>G-3-D</t>
  </si>
  <si>
    <t>G-1-H.1</t>
  </si>
  <si>
    <t>G-1-H.2</t>
  </si>
  <si>
    <t>G-1-O</t>
  </si>
  <si>
    <t>Sòls amb jaç, escalfats i refrigerats (sistema Combideck)</t>
  </si>
  <si>
    <r>
      <t xml:space="preserve">Comprovació </t>
    </r>
    <r>
      <rPr>
        <u/>
        <sz val="11"/>
        <color theme="1"/>
        <rFont val="Calibri"/>
        <family val="2"/>
        <scheme val="minor"/>
      </rPr>
      <t>únicament a les naus</t>
    </r>
    <r>
      <rPr>
        <sz val="11"/>
        <color theme="1"/>
        <rFont val="Calibri"/>
        <family val="2"/>
        <scheme val="minor"/>
      </rPr>
      <t xml:space="preserve"> dels Nivells d'emissió d'amoníac associats a les Millors Tècniques Disponibles</t>
    </r>
  </si>
  <si>
    <t>Cria amb sistemes de depuració d’aire</t>
  </si>
  <si>
    <t>FASE 1: ALLOTJAMENT+EVACUACIÓ I EMMAGATZEMATGE DELS FEMS</t>
  </si>
  <si>
    <t>Tipus de cria</t>
  </si>
  <si>
    <t>en gàbia</t>
  </si>
  <si>
    <t>al terra</t>
  </si>
  <si>
    <t>A LA SORTIDA DE LA NAU</t>
  </si>
  <si>
    <t>A LA SORTIDA DEL PATI</t>
  </si>
  <si>
    <t>Espècie</t>
  </si>
  <si>
    <t>Fase</t>
  </si>
  <si>
    <t>Codi Opció</t>
  </si>
  <si>
    <t>Descripció tècnica</t>
  </si>
  <si>
    <t>Coef. Reducció</t>
  </si>
  <si>
    <t>Font:</t>
  </si>
  <si>
    <t>MTD resum</t>
  </si>
  <si>
    <t>Guia de las MTD's en la ganaderia</t>
  </si>
  <si>
    <t>2-Emmagatzematge</t>
  </si>
  <si>
    <t>3-Aplicació</t>
  </si>
  <si>
    <t>Gallines en gàbia (G)</t>
  </si>
  <si>
    <t>1A-Allotjament+Evacuació</t>
  </si>
  <si>
    <t>Gallines terra i Engreix (G)</t>
  </si>
  <si>
    <t>BREF (pig and poultry)</t>
  </si>
  <si>
    <t>Ministeri d'Agricultura, Pesca i Alimentació</t>
  </si>
  <si>
    <t>Ministeri d'Agricultura, Pesca i Alimentació - Referència (0%)</t>
  </si>
  <si>
    <t>EXPLOTACIÓ DE GALLINES I POLLASTRES</t>
  </si>
  <si>
    <t>Nom explotació</t>
  </si>
  <si>
    <t>Indicar el destí dels fems procedent de l'explotació: el que es recull a la nau d'allotjament i/o als patis, i el que es treu de l'emmagatzematge de fems.</t>
  </si>
  <si>
    <t>Tractaments in situ</t>
  </si>
  <si>
    <t>Indiqui, si és el cas, quin tractament de les dejeccions es fa a l'explotació</t>
  </si>
  <si>
    <t>Informi les següents dades identificatives de l'explotació.
Al full 'Dades' indiqui el nombre de places i les tècniques per a cada categoria productiva</t>
  </si>
  <si>
    <t>Nitrificació-desnitrificació</t>
  </si>
  <si>
    <t>Compostatge</t>
  </si>
  <si>
    <t>Assecatge solar</t>
  </si>
  <si>
    <t>Túnel d’assecatge exterior</t>
  </si>
  <si>
    <t>Digestió anaeròbia</t>
  </si>
  <si>
    <t>Digestió aeròbica</t>
  </si>
  <si>
    <t>ALTRES TRACTAMENT IN SITU (a títol informatiu)</t>
  </si>
  <si>
    <t>(no n'hi ha)</t>
  </si>
  <si>
    <t>MTD 19.f</t>
  </si>
  <si>
    <t>MTD 19.d</t>
  </si>
  <si>
    <t>MTD 19.b</t>
  </si>
  <si>
    <t>MTD 19.e</t>
  </si>
  <si>
    <r>
      <rPr>
        <i/>
        <sz val="11"/>
        <color theme="1"/>
        <rFont val="Arial"/>
        <family val="2"/>
      </rPr>
      <t>→</t>
    </r>
    <r>
      <rPr>
        <i/>
        <sz val="11"/>
        <color theme="1"/>
        <rFont val="Calibri"/>
        <family val="2"/>
        <scheme val="minor"/>
      </rPr>
      <t>Només ponedores en gàbies</t>
    </r>
  </si>
  <si>
    <r>
      <t xml:space="preserve">ALTRES TRACTAMENTS IN SITU
</t>
    </r>
    <r>
      <rPr>
        <sz val="8"/>
        <color theme="1"/>
        <rFont val="Calibri"/>
        <family val="2"/>
        <scheme val="minor"/>
      </rPr>
      <t>(a títol informatiu)</t>
    </r>
  </si>
  <si>
    <t>Totes les categories</t>
  </si>
  <si>
    <t>Fase 1. Allotjament d'animals</t>
  </si>
  <si>
    <t>Si els fems s'apliquen fora de l'explotació, marqui el sistema que s'aplica al lloc de destinació.</t>
  </si>
  <si>
    <t>Cria al terra amb jaç profund, ventilació forçada i abeuradors sense pèrdues d’aigua</t>
  </si>
  <si>
    <t>Cria al terra amb jaç profund, ventilació natural i abeuradors sense pèrdues d’aigua</t>
  </si>
  <si>
    <t>Emissions calculades - Explotacions de Gallines de posta i d'engreix de pollastres</t>
  </si>
  <si>
    <t>(1) En el cas de les naus que utilitzen un sistema de ventilació forçada i realitzen una evacuació poc freqüent de fems (jaç profunda amb fossa de fems), en combinació amb una mesura que permet obtenir un fem amb un alt contingut de matèria seca , el límit superior dels NEA-MTD és 0,25 kg NH3 /plaça /any.</t>
  </si>
  <si>
    <t>Supervisió emissions de pols (Partícules Sòlides Totals)</t>
  </si>
  <si>
    <t>Informació d'emissions no supervisades amb les Millors Tècniques Disponibles:</t>
  </si>
  <si>
    <t>LAYING HENS</t>
  </si>
  <si>
    <t>BROILERS</t>
  </si>
  <si>
    <t>FASE 2. EMMAGATZEMATGE DE FEMS</t>
  </si>
  <si>
    <t>FASE 3:  APLICACIÓ DE FEMS AL CAMP</t>
  </si>
  <si>
    <t>ACLARIMENTS SOBRE LA SEGÜENT PESTANYA DE 'DADES'</t>
  </si>
  <si>
    <t>v0.5</t>
  </si>
  <si>
    <r>
      <t xml:space="preserve">Dades de </t>
    </r>
    <r>
      <rPr>
        <b/>
        <u/>
        <sz val="11"/>
        <color theme="1"/>
        <rFont val="Calibri"/>
        <family val="2"/>
        <scheme val="minor"/>
      </rPr>
      <t>"Referència":</t>
    </r>
    <r>
      <rPr>
        <i/>
        <u/>
        <sz val="11"/>
        <color theme="1"/>
        <rFont val="Calibri"/>
        <family val="2"/>
        <scheme val="minor"/>
      </rPr>
      <t xml:space="preserve"> RÈPLICA DEL CÀLCUL CONSIDERANT LES TÈCNIQUES DE REFERÈNCIA AMB COEFICIENTS DE REDUCCIÓ IGUAL A 0%</t>
    </r>
  </si>
  <si>
    <r>
      <t xml:space="preserve">Emissions
</t>
    </r>
    <r>
      <rPr>
        <b/>
        <sz val="8"/>
        <color theme="1"/>
        <rFont val="Calibri"/>
        <family val="2"/>
        <scheme val="minor"/>
      </rPr>
      <t>kg PST/any</t>
    </r>
  </si>
  <si>
    <r>
      <t xml:space="preserve">Interval naus
NEA-MTD
</t>
    </r>
    <r>
      <rPr>
        <b/>
        <sz val="8"/>
        <color theme="1"/>
        <rFont val="Calibri"/>
        <family val="2"/>
        <scheme val="minor"/>
      </rPr>
      <t>kg NH3/plaça i any</t>
    </r>
  </si>
  <si>
    <r>
      <t xml:space="preserve">Emissions naus
</t>
    </r>
    <r>
      <rPr>
        <b/>
        <sz val="8"/>
        <color theme="1"/>
        <rFont val="Calibri"/>
        <family val="2"/>
        <scheme val="minor"/>
      </rPr>
      <t>kg NH</t>
    </r>
    <r>
      <rPr>
        <b/>
        <vertAlign val="subscript"/>
        <sz val="8"/>
        <color theme="1"/>
        <rFont val="Calibri"/>
        <family val="2"/>
        <scheme val="minor"/>
      </rPr>
      <t>3</t>
    </r>
    <r>
      <rPr>
        <b/>
        <sz val="8"/>
        <color theme="1"/>
        <rFont val="Calibri"/>
        <family val="2"/>
        <scheme val="minor"/>
      </rPr>
      <t>/plaça i any</t>
    </r>
  </si>
  <si>
    <t>Generalitat de Catalunya</t>
  </si>
  <si>
    <t>Departament de Territori</t>
  </si>
  <si>
    <t>i Sostenibilitat</t>
  </si>
  <si>
    <t>Direcció General de Qualitat Ambiental</t>
  </si>
  <si>
    <t>i Canvi Climàtic</t>
  </si>
  <si>
    <t>NOTA INFORMATIVA EN RELACIÓ AL CÀLCUL D’EMISSIONS A L’ATMOSFERA PROCEDENTS DE LES ACTIVITATS RAMADERES</t>
  </si>
  <si>
    <t xml:space="preserve">El 21 de febrer de 2017 es va publicar la Decisió d’Execució 2017/302 de la Comissió Europea, de 15 de febrer de 2017, per la qual s’estableixen les conclusions sobre les Millors Tècniques Disponibles (MTD), en el marc de la Directiva 2010/75/UE del Parlament Europeu i del Consell, respecte la cria intensiva d’aus de corral i porcs (DOUE L 43).
D’acord amb l’article 26 del Reial Decret Legislatiu 1/2016, de 16 de desembre, pel que s’aprova el text refós de la llei de prevenció i control integrats de la contaminació, i l’article 62 de la llei 20/2009, del 4 de desembre, de prevenció i control ambiental de les activitats, procedeix revisar totes les autoritzacions ambientals atorgades a les activitats ramaderes incloses a la secció 6.6 de l’annex I de la Directiva 2010/75 /UE, per tal d’adequar-les al compliment de la Decisió d’Execució 2017/302 esmentada.
La  Decisió d’Execució 2017/302, entre d’altres, estableix uns nivells d’emissió associats a l’ús de les MTD, per les emissions procedents dels allotjaments de bestiar, en relació a determinades espècies (MTD 30, MTD 31 i MTD 32), que no es poden sobrepassar d’acord amb la normativa vigent, així com l’obligació de supervisar les emissions al llarg de tot el cicle productiu: allotjament, emmagatzematge dejeccions i aplicació al camp (MTD 25 i MTD 27).
Per tal de donar compliment a aquestes obligacions, totes les activitats ramaderes incloses a la secció 6.6 de l’annex I de la Directiva 2010/75/UE que tinguin adequada la seva autorització ambiental a la Decisió d’Execució 2017/302, han de presentar a la Direcció general de Qualitat Ambiental i Canvi Climàtic, d’acord amb els mitjans i metodologies que s’estableixin,  un informe sobre les emissions a l’atmosfera generades per la seva explotació durant l’any anterior, amb una periodicitat anual i abans del 31 de gener de cada any.
Per dur a terme aquesta comunicació s’ha habilitat un tràmit, a través de la plataforma tràmits.gencat.cat de la Generalitat de Catalunya, al qual s’accedeix a través del següent enllaç: </t>
  </si>
  <si>
    <t xml:space="preserve">http://gestio.web.gencat.cat/ca/tramits/tramits-temes/Comunicacio-anual-dels-nivells-demissio-de-les-activitats-ramaderes?category= </t>
  </si>
  <si>
    <t>Instruccions per a l’emplenament dels arxius excel  de càlcul de les emissions</t>
  </si>
  <si>
    <t xml:space="preserve">Igualment s’ha establert la metodologia de càlcul, amb la col·laboració del Departament d’Agricultura, Ramaderia, Pesca i Alimentació,  en dos  arxius en format MS excel (un per a porcí i l’altre per aviram) que s’hauran d’annexar, degudament emplenats, al tràmit habilitat. Aquesta metodologia de càlcul és una adaptació de l’eina elaborada inicialment pel Ministeri d’Agricultura, Pesca i Alimentació.
El  arxius de MS Excel consten de vuit pestanyes (fulls), de les quals només s’ha d’emplenar la segona i la tercera, anomenades “Dades_Id_expl” i “Dades” .El quart full, anomenat “Resultats”, mostra els valors obtinguts al realitzar diversos càlculs a partir de les dades entrades en el  full anomenat “Dades .
La resta de fulls mostren el funcionament de l’algoritme:
-  El full, anomenat “Càlculs”, mostra el càlcul basat en el flux del nitrogen amoniacal (mass-flow) establert a la Guia 2019 del Programa europeu de monitoratge i avaluació (EMEP) .
-  El full anomenat  “F.Emissió” mostra els factors d’emissió que l’algoritme considera per a cada fase, provinents de la Guia EMEP 2019.
-  El full, anomenat  “F.Distribució”, mostra els factors que estableixen la distribució del nitrogen entre les diferents fases del càlcul, diferenciant entre dejeccions líquides i sòlides quan és necessari.
-  El full, anomenat “Coeficients reducció”, fa constar els coeficients de reducció d’emissions d’amoníac que s’empren, per a cada espècie i categoria productiva, relacionats amb la tècnica aplicada en les diferents fases (allotjament, emmagatzematge de les dejeccions i aplicació al camp), així com la font en base a la qual s’ha establert els mateixos. 
Per a la determinació de la reducció d’amoníac a tot el procés, l’algoritme fa una comparativa entre les tècniques informades per l’usuari i les considerades com a tècniques de referència o pitjor escenari, que son les que més emissions produeixen. Aquestes tècniques estan indicades al full “Coeficients de reducció”.
L’eina de càlcul inclou un apartat, únicament a títol informatiu, per a que aquelles instal·lacions que disposen d’un tractament de les dejeccions in situ, ho facin constar, malgrat, ara per ara, no s’ha considerat el seu efecte sobre les emissions, motiu pel qual, actualment, aquest apartat no té efectes sobre el càlcul de les emissions. 
El contingut dels fulls quart a vuitè està bloquejat, atès que aquests fulls tenen únicament un caràcter informatiu.
</t>
  </si>
  <si>
    <t xml:space="preserve">Quan una mateix granja tingui porcí i aviram, caldrà emplenar com a mínim un arxiu, per a cada tipus de bestiar. 
Igualment, i en cas que hi hagi diferents naus, i quan no s’apliquin les mateixes MTD a totes elles, es podran emplenar repeticions de l’arxiu excel, però només en el cas que, per a la mateixa categoria, s’emprin diferents MTD. 
Les dades a emplenar en el full de càlcul relatiu a l’aviram són les següents (pestanya “Dades”
- Marca oficial
- IDQA
- Any al que fan referència les dades informades
- Nom de l’explotació
- Nom del titular de l’explotació
- Cens mitjà de l’any al que fan referència les dades per categoria productiva
- Sistema d’allotjament del bestiar i d’evacuació de la gallinassa. Cal escollir el sistema del desplegable establert, per a cada categoria productiva
- Destí dels fems a la sortida dels allotjaments. Cal escollir el sistema de les dues opcions del desplegable (emmagatzematge –basses o dipòsits-, o altres usos no agraris   com per exemple gestor extern-, per a cada categoria productiva, distingint entre a la sortida de la nau i a la sortida del patí en el cas de gallines camperes. 
- Sistema d’emmagatzematge dels fems (si n’hi ha). Cal escollir el sistema del desplegable establert, per a cada categoria productiva
- Destí dels fems després de l’emmagatzematge. Cal escollir el sistema del desplegable establert, per a cada categoria productiva
- Sistema d’aplicació dels fems al camp. Cal escollir els sistema d’aplicació al sòl del desplegable establert, per a cada categoria productiva.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</si>
</sst>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0.0000"/>
    <numFmt numFmtId="165" formatCode="0.000"/>
    <numFmt numFmtId="166" formatCode="#,##0.0000"/>
    <numFmt numFmtId="167" formatCode="#,##0.000"/>
    <numFmt numFmtId="168" formatCode="0.000000"/>
    <numFmt numFmtId="169" formatCode="0.00000"/>
    <numFmt numFmtId="170" formatCode="#,##0.00_ ;\-#,##0.00\ "/>
    <numFmt numFmtId="171" formatCode="0.0000000"/>
  </numFmts>
  <fonts count="6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4"/>
      <color theme="1"/>
      <name val="Calibri"/>
      <family val="2"/>
      <scheme val="minor"/>
    </font>
    <font>
      <sz val="10"/>
      <name val="Arial"/>
      <family val="2"/>
    </font>
    <font>
      <b/>
      <sz val="14"/>
      <name val="Calibri"/>
      <family val="2"/>
      <scheme val="minor"/>
    </font>
    <font>
      <sz val="11"/>
      <color theme="1"/>
      <name val="Arial Narrow"/>
      <family val="2"/>
    </font>
    <font>
      <sz val="10"/>
      <color theme="1"/>
      <name val="Arial Narrow"/>
      <family val="2"/>
    </font>
    <font>
      <b/>
      <sz val="12"/>
      <color theme="1"/>
      <name val="Calibri"/>
      <family val="2"/>
      <scheme val="minor"/>
    </font>
    <font>
      <b/>
      <i/>
      <sz val="11"/>
      <color theme="1"/>
      <name val="Calibri"/>
      <family val="2"/>
      <scheme val="minor"/>
    </font>
    <font>
      <b/>
      <sz val="11"/>
      <color theme="1"/>
      <name val="Arial Narrow"/>
      <family val="2"/>
    </font>
    <font>
      <sz val="12"/>
      <color theme="1"/>
      <name val="Calibri"/>
      <family val="2"/>
      <scheme val="minor"/>
    </font>
    <font>
      <b/>
      <sz val="26"/>
      <color theme="1"/>
      <name val="Arial Rounded MT Bold"/>
      <family val="2"/>
    </font>
    <font>
      <sz val="12"/>
      <color theme="1"/>
      <name val="Arial Narrow"/>
      <family val="2"/>
    </font>
    <font>
      <b/>
      <i/>
      <sz val="12"/>
      <color theme="1"/>
      <name val="Calibri"/>
      <family val="2"/>
      <scheme val="minor"/>
    </font>
    <font>
      <sz val="14"/>
      <color theme="1"/>
      <name val="Calibri"/>
      <family val="2"/>
      <scheme val="minor"/>
    </font>
    <font>
      <sz val="11"/>
      <color rgb="FFC00000"/>
      <name val="Calibri"/>
      <family val="2"/>
      <scheme val="minor"/>
    </font>
    <font>
      <i/>
      <sz val="11"/>
      <color theme="1"/>
      <name val="Calibri"/>
      <family val="2"/>
      <scheme val="minor"/>
    </font>
    <font>
      <sz val="11"/>
      <color theme="1"/>
      <name val="Calibri"/>
      <family val="2"/>
      <scheme val="minor"/>
    </font>
    <font>
      <vertAlign val="subscript"/>
      <sz val="11"/>
      <color theme="1"/>
      <name val="Calibri"/>
      <family val="2"/>
      <scheme val="minor"/>
    </font>
    <font>
      <b/>
      <u/>
      <sz val="12"/>
      <color theme="1"/>
      <name val="Calibri"/>
      <family val="2"/>
      <scheme val="minor"/>
    </font>
    <font>
      <b/>
      <sz val="9"/>
      <color indexed="81"/>
      <name val="Tahoma"/>
      <family val="2"/>
    </font>
    <font>
      <sz val="9"/>
      <color indexed="81"/>
      <name val="Tahoma"/>
      <family val="2"/>
    </font>
    <font>
      <strike/>
      <sz val="11"/>
      <color theme="1"/>
      <name val="Calibri"/>
      <family val="2"/>
      <scheme val="minor"/>
    </font>
    <font>
      <b/>
      <strike/>
      <sz val="14"/>
      <color theme="1"/>
      <name val="Calibri"/>
      <family val="2"/>
      <scheme val="minor"/>
    </font>
    <font>
      <b/>
      <sz val="20"/>
      <color theme="1"/>
      <name val="Arial Rounded MT Bold"/>
      <family val="2"/>
    </font>
    <font>
      <b/>
      <sz val="12"/>
      <color theme="2" tint="-0.749992370372631"/>
      <name val="Calibri"/>
      <family val="2"/>
      <scheme val="minor"/>
    </font>
    <font>
      <strike/>
      <sz val="11"/>
      <name val="Calibri"/>
      <family val="2"/>
      <scheme val="minor"/>
    </font>
    <font>
      <b/>
      <sz val="16"/>
      <color theme="1"/>
      <name val="Arial Black"/>
      <family val="2"/>
    </font>
    <font>
      <b/>
      <sz val="18"/>
      <color theme="1"/>
      <name val="Arial Black"/>
      <family val="2"/>
    </font>
    <font>
      <sz val="11"/>
      <color theme="1"/>
      <name val="Arial Black"/>
      <family val="2"/>
    </font>
    <font>
      <sz val="10"/>
      <color theme="0"/>
      <name val="Calibri"/>
      <family val="2"/>
      <scheme val="minor"/>
    </font>
    <font>
      <vertAlign val="subscript"/>
      <sz val="10"/>
      <color theme="0"/>
      <name val="Calibri"/>
      <family val="2"/>
      <scheme val="minor"/>
    </font>
    <font>
      <b/>
      <sz val="10"/>
      <color theme="0"/>
      <name val="Calibri"/>
      <family val="2"/>
      <scheme val="minor"/>
    </font>
    <font>
      <b/>
      <vertAlign val="subscript"/>
      <sz val="10"/>
      <color theme="0"/>
      <name val="Calibri"/>
      <family val="2"/>
      <scheme val="minor"/>
    </font>
    <font>
      <u/>
      <sz val="11"/>
      <color theme="1"/>
      <name val="Calibri"/>
      <family val="2"/>
      <scheme val="minor"/>
    </font>
    <font>
      <sz val="8"/>
      <color theme="1"/>
      <name val="Calibri"/>
      <family val="2"/>
      <scheme val="minor"/>
    </font>
    <font>
      <sz val="22"/>
      <color theme="1"/>
      <name val="Calibri"/>
      <family val="2"/>
      <scheme val="minor"/>
    </font>
    <font>
      <b/>
      <sz val="8"/>
      <color theme="1"/>
      <name val="Calibri"/>
      <family val="2"/>
      <scheme val="minor"/>
    </font>
    <font>
      <b/>
      <vertAlign val="subscript"/>
      <sz val="12"/>
      <color theme="1"/>
      <name val="Calibri"/>
      <family val="2"/>
      <scheme val="minor"/>
    </font>
    <font>
      <i/>
      <u/>
      <sz val="11"/>
      <color theme="1"/>
      <name val="Calibri"/>
      <family val="2"/>
      <scheme val="minor"/>
    </font>
    <font>
      <b/>
      <u/>
      <sz val="11"/>
      <color theme="1"/>
      <name val="Calibri"/>
      <family val="2"/>
      <scheme val="minor"/>
    </font>
    <font>
      <b/>
      <sz val="14"/>
      <color theme="1"/>
      <name val="Arial"/>
      <family val="2"/>
    </font>
    <font>
      <b/>
      <sz val="11"/>
      <color theme="1"/>
      <name val="Arial"/>
      <family val="2"/>
    </font>
    <font>
      <sz val="10"/>
      <color theme="1"/>
      <name val="Calibri"/>
      <family val="2"/>
      <scheme val="minor"/>
    </font>
    <font>
      <i/>
      <sz val="11"/>
      <color rgb="FFFF0000"/>
      <name val="Calibri"/>
      <family val="2"/>
      <scheme val="minor"/>
    </font>
    <font>
      <b/>
      <sz val="10"/>
      <color theme="1"/>
      <name val="Calibri"/>
      <family val="2"/>
      <scheme val="minor"/>
    </font>
    <font>
      <b/>
      <vertAlign val="superscript"/>
      <sz val="11"/>
      <color theme="1"/>
      <name val="Calibri"/>
      <family val="2"/>
      <scheme val="minor"/>
    </font>
    <font>
      <vertAlign val="subscript"/>
      <sz val="12"/>
      <color theme="1"/>
      <name val="Calibri"/>
      <family val="2"/>
      <scheme val="minor"/>
    </font>
    <font>
      <sz val="6"/>
      <color theme="1"/>
      <name val="Calibri"/>
      <family val="2"/>
      <scheme val="minor"/>
    </font>
    <font>
      <b/>
      <sz val="8"/>
      <color theme="1"/>
      <name val="Arial Rounded MT Bold"/>
      <family val="2"/>
    </font>
    <font>
      <b/>
      <sz val="10"/>
      <color theme="1"/>
      <name val="Arial Narrow"/>
      <family val="2"/>
    </font>
    <font>
      <u/>
      <sz val="11"/>
      <color theme="10"/>
      <name val="Calibri"/>
      <family val="2"/>
      <scheme val="minor"/>
    </font>
    <font>
      <u/>
      <sz val="8"/>
      <color theme="10"/>
      <name val="Calibri"/>
      <family val="2"/>
      <scheme val="minor"/>
    </font>
    <font>
      <b/>
      <sz val="14"/>
      <color theme="1"/>
      <name val="Arial Rounded MT Bold"/>
      <family val="2"/>
    </font>
    <font>
      <b/>
      <sz val="12"/>
      <color rgb="FFFF0000"/>
      <name val="Calibri"/>
      <family val="2"/>
      <scheme val="minor"/>
    </font>
    <font>
      <sz val="11"/>
      <color rgb="FF1F497D"/>
      <name val="Calibri"/>
      <family val="2"/>
      <scheme val="minor"/>
    </font>
    <font>
      <i/>
      <sz val="11"/>
      <color theme="1"/>
      <name val="Arial"/>
      <family val="2"/>
    </font>
    <font>
      <b/>
      <vertAlign val="subscript"/>
      <sz val="8"/>
      <color theme="1"/>
      <name val="Calibri"/>
      <family val="2"/>
      <scheme val="minor"/>
    </font>
    <font>
      <sz val="13"/>
      <color theme="1"/>
      <name val="Helvetica"/>
      <family val="2"/>
    </font>
    <font>
      <sz val="10"/>
      <color theme="1"/>
      <name val="Helvetica"/>
      <family val="2"/>
    </font>
    <font>
      <b/>
      <sz val="10"/>
      <color theme="1"/>
      <name val="Helvetica"/>
      <family val="2"/>
    </font>
    <font>
      <b/>
      <sz val="13"/>
      <color theme="1"/>
      <name val="Helvetica"/>
      <family val="2"/>
    </font>
    <font>
      <b/>
      <u/>
      <sz val="11"/>
      <color theme="1"/>
      <name val="Arial"/>
      <family val="2"/>
    </font>
    <font>
      <sz val="9"/>
      <color rgb="FF000000"/>
      <name val="Arial"/>
      <family val="2"/>
    </font>
    <font>
      <u/>
      <sz val="10"/>
      <color rgb="FF000000"/>
      <name val="Arial"/>
      <family val="2"/>
    </font>
    <font>
      <u/>
      <sz val="9"/>
      <color theme="10"/>
      <name val="Calibri"/>
      <family val="2"/>
      <scheme val="minor"/>
    </font>
  </fonts>
  <fills count="3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EBEEE2"/>
        <bgColor indexed="64"/>
      </patternFill>
    </fill>
    <fill>
      <patternFill patternType="solid">
        <fgColor rgb="FFF0E1FF"/>
        <bgColor indexed="64"/>
      </patternFill>
    </fill>
    <fill>
      <patternFill patternType="solid">
        <fgColor theme="0" tint="-0.14999847407452621"/>
        <bgColor indexed="64"/>
      </patternFill>
    </fill>
    <fill>
      <patternFill patternType="solid">
        <fgColor rgb="FFE6E6E6"/>
        <bgColor indexed="64"/>
      </patternFill>
    </fill>
    <fill>
      <patternFill patternType="solid">
        <fgColor rgb="FFFFFFF3"/>
        <bgColor indexed="64"/>
      </patternFill>
    </fill>
    <fill>
      <patternFill patternType="solid">
        <fgColor rgb="FFFFFFCC"/>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79998168889431442"/>
        <bgColor indexed="64"/>
      </patternFill>
    </fill>
    <fill>
      <patternFill patternType="solid">
        <fgColor rgb="FFCAE8AA"/>
        <bgColor indexed="64"/>
      </patternFill>
    </fill>
    <fill>
      <patternFill patternType="solid">
        <fgColor rgb="FFFF000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59999389629810485"/>
        <bgColor indexed="64"/>
      </patternFill>
    </fill>
  </fills>
  <borders count="4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indexed="64"/>
      </right>
      <top/>
      <bottom style="medium">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diagonal/>
    </border>
    <border>
      <left style="medium">
        <color auto="1"/>
      </left>
      <right style="thin">
        <color indexed="64"/>
      </right>
      <top style="medium">
        <color auto="1"/>
      </top>
      <bottom/>
      <diagonal/>
    </border>
    <border>
      <left style="medium">
        <color auto="1"/>
      </left>
      <right style="thin">
        <color indexed="64"/>
      </right>
      <top/>
      <bottom style="thin">
        <color auto="1"/>
      </bottom>
      <diagonal/>
    </border>
    <border>
      <left/>
      <right/>
      <top style="hair">
        <color auto="1"/>
      </top>
      <bottom style="medium">
        <color indexed="64"/>
      </bottom>
      <diagonal/>
    </border>
    <border>
      <left/>
      <right style="medium">
        <color indexed="64"/>
      </right>
      <top style="hair">
        <color auto="1"/>
      </top>
      <bottom style="hair">
        <color auto="1"/>
      </bottom>
      <diagonal/>
    </border>
    <border>
      <left style="medium">
        <color auto="1"/>
      </left>
      <right/>
      <top/>
      <bottom style="thin">
        <color indexed="64"/>
      </bottom>
      <diagonal/>
    </border>
    <border>
      <left/>
      <right style="thin">
        <color auto="1"/>
      </right>
      <top style="medium">
        <color indexed="64"/>
      </top>
      <bottom/>
      <diagonal/>
    </border>
    <border>
      <left style="thin">
        <color auto="1"/>
      </left>
      <right/>
      <top style="medium">
        <color indexed="64"/>
      </top>
      <bottom/>
      <diagonal/>
    </border>
  </borders>
  <cellStyleXfs count="5">
    <xf numFmtId="0" fontId="0" fillId="0" borderId="0"/>
    <xf numFmtId="0" fontId="5" fillId="0" borderId="0"/>
    <xf numFmtId="0" fontId="5" fillId="0" borderId="0"/>
    <xf numFmtId="43" fontId="19" fillId="0" borderId="0" applyFont="0" applyFill="0" applyBorder="0" applyAlignment="0" applyProtection="0"/>
    <xf numFmtId="0" fontId="53" fillId="0" borderId="0" applyNumberFormat="0" applyFill="0" applyBorder="0" applyAlignment="0" applyProtection="0"/>
  </cellStyleXfs>
  <cellXfs count="587">
    <xf numFmtId="0" fontId="0" fillId="0" borderId="0" xfId="0"/>
    <xf numFmtId="0" fontId="0" fillId="0" borderId="0" xfId="0" applyAlignment="1">
      <alignment horizontal="right"/>
    </xf>
    <xf numFmtId="0" fontId="0" fillId="0" borderId="0" xfId="0" applyBorder="1"/>
    <xf numFmtId="0" fontId="0" fillId="0" borderId="18" xfId="0" applyBorder="1" applyAlignment="1">
      <alignment horizontal="center"/>
    </xf>
    <xf numFmtId="0" fontId="0" fillId="0" borderId="21" xfId="0" applyBorder="1" applyAlignment="1">
      <alignment horizontal="center"/>
    </xf>
    <xf numFmtId="0" fontId="1" fillId="0" borderId="0" xfId="0" applyFont="1"/>
    <xf numFmtId="2" fontId="0" fillId="0" borderId="0" xfId="0" applyNumberFormat="1" applyBorder="1" applyAlignment="1">
      <alignment horizontal="center"/>
    </xf>
    <xf numFmtId="0" fontId="0" fillId="0" borderId="0" xfId="0" applyAlignment="1">
      <alignment vertical="center"/>
    </xf>
    <xf numFmtId="0" fontId="0" fillId="8" borderId="0" xfId="0" applyFill="1"/>
    <xf numFmtId="0" fontId="0" fillId="8" borderId="0" xfId="0" applyFill="1" applyBorder="1" applyAlignment="1">
      <alignment horizontal="center"/>
    </xf>
    <xf numFmtId="0" fontId="0" fillId="8" borderId="18" xfId="0" applyFill="1" applyBorder="1" applyAlignment="1">
      <alignment horizontal="center"/>
    </xf>
    <xf numFmtId="0" fontId="0" fillId="8" borderId="19" xfId="0" applyFill="1" applyBorder="1" applyAlignment="1">
      <alignment horizontal="center"/>
    </xf>
    <xf numFmtId="0" fontId="0" fillId="8" borderId="20"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2" borderId="20" xfId="0" applyFill="1" applyBorder="1" applyAlignment="1">
      <alignment horizontal="center"/>
    </xf>
    <xf numFmtId="0" fontId="7" fillId="0" borderId="0" xfId="0" applyFont="1" applyBorder="1" applyAlignment="1">
      <alignment horizontal="center"/>
    </xf>
    <xf numFmtId="0" fontId="7" fillId="8" borderId="0" xfId="0" applyFont="1" applyFill="1" applyBorder="1" applyAlignment="1">
      <alignment horizontal="center"/>
    </xf>
    <xf numFmtId="0" fontId="7" fillId="2" borderId="0" xfId="0" applyFont="1" applyFill="1" applyBorder="1" applyAlignment="1">
      <alignment horizontal="center"/>
    </xf>
    <xf numFmtId="0" fontId="7" fillId="0" borderId="18" xfId="0" applyFont="1" applyBorder="1" applyAlignment="1">
      <alignment horizontal="center"/>
    </xf>
    <xf numFmtId="0" fontId="0" fillId="0" borderId="19" xfId="0" applyBorder="1" applyAlignment="1">
      <alignment horizontal="center"/>
    </xf>
    <xf numFmtId="0" fontId="7" fillId="9" borderId="18" xfId="0" applyFont="1" applyFill="1" applyBorder="1" applyAlignment="1">
      <alignment horizontal="center"/>
    </xf>
    <xf numFmtId="0" fontId="8" fillId="0" borderId="22" xfId="0" applyFont="1" applyFill="1" applyBorder="1" applyAlignment="1">
      <alignment horizontal="center"/>
    </xf>
    <xf numFmtId="0" fontId="8" fillId="0" borderId="0" xfId="0" applyFont="1" applyFill="1" applyBorder="1" applyAlignment="1">
      <alignment horizontal="center"/>
    </xf>
    <xf numFmtId="0" fontId="8" fillId="0" borderId="18" xfId="0" applyFont="1" applyFill="1" applyBorder="1" applyAlignment="1">
      <alignment horizontal="center"/>
    </xf>
    <xf numFmtId="0" fontId="0" fillId="0" borderId="15" xfId="0" applyBorder="1" applyAlignment="1">
      <alignment horizontal="center"/>
    </xf>
    <xf numFmtId="0" fontId="0" fillId="9" borderId="20" xfId="0" applyFill="1" applyBorder="1" applyAlignment="1">
      <alignment horizontal="center"/>
    </xf>
    <xf numFmtId="0" fontId="0" fillId="9" borderId="21" xfId="0" applyFill="1" applyBorder="1" applyAlignment="1">
      <alignment horizontal="center"/>
    </xf>
    <xf numFmtId="0" fontId="7" fillId="9" borderId="0" xfId="0" applyFont="1" applyFill="1" applyBorder="1" applyAlignment="1">
      <alignment horizontal="center"/>
    </xf>
    <xf numFmtId="0" fontId="7" fillId="2" borderId="20" xfId="0" applyFont="1" applyFill="1" applyBorder="1" applyAlignment="1">
      <alignment horizontal="center"/>
    </xf>
    <xf numFmtId="0" fontId="9" fillId="0" borderId="0" xfId="0" applyFont="1"/>
    <xf numFmtId="0" fontId="7" fillId="8" borderId="20" xfId="0" applyFont="1" applyFill="1" applyBorder="1" applyAlignment="1">
      <alignment horizontal="center"/>
    </xf>
    <xf numFmtId="0" fontId="7" fillId="0" borderId="13" xfId="0" applyFont="1" applyFill="1" applyBorder="1" applyAlignment="1">
      <alignment horizontal="center"/>
    </xf>
    <xf numFmtId="0" fontId="7" fillId="9" borderId="20" xfId="0" applyFont="1" applyFill="1" applyBorder="1" applyAlignment="1">
      <alignment horizontal="center"/>
    </xf>
    <xf numFmtId="0" fontId="7" fillId="8" borderId="22" xfId="0" applyFont="1" applyFill="1" applyBorder="1" applyAlignment="1">
      <alignment horizontal="center"/>
    </xf>
    <xf numFmtId="164" fontId="0" fillId="0" borderId="16" xfId="0" applyNumberFormat="1" applyBorder="1"/>
    <xf numFmtId="0" fontId="7" fillId="3" borderId="18" xfId="0" applyFont="1" applyFill="1" applyBorder="1" applyAlignment="1">
      <alignment horizontal="center"/>
    </xf>
    <xf numFmtId="0" fontId="8" fillId="8" borderId="18" xfId="0" applyFont="1" applyFill="1" applyBorder="1" applyAlignment="1">
      <alignment horizontal="center"/>
    </xf>
    <xf numFmtId="164" fontId="0" fillId="0" borderId="0" xfId="0" applyNumberFormat="1" applyBorder="1" applyAlignment="1">
      <alignment horizontal="right"/>
    </xf>
    <xf numFmtId="164" fontId="0" fillId="0" borderId="16" xfId="0" applyNumberFormat="1" applyBorder="1" applyAlignment="1">
      <alignment horizontal="right"/>
    </xf>
    <xf numFmtId="164" fontId="0" fillId="0" borderId="17" xfId="0" applyNumberFormat="1" applyBorder="1" applyAlignment="1">
      <alignment horizontal="right"/>
    </xf>
    <xf numFmtId="164" fontId="0" fillId="0" borderId="24" xfId="0" applyNumberFormat="1" applyBorder="1" applyAlignment="1">
      <alignment horizontal="right"/>
    </xf>
    <xf numFmtId="164" fontId="0" fillId="0" borderId="22" xfId="0" applyNumberFormat="1" applyBorder="1" applyAlignment="1">
      <alignment horizontal="right"/>
    </xf>
    <xf numFmtId="164" fontId="0" fillId="2" borderId="0" xfId="0" applyNumberFormat="1" applyFill="1" applyBorder="1" applyAlignment="1">
      <alignment horizontal="right"/>
    </xf>
    <xf numFmtId="164" fontId="0" fillId="9" borderId="0" xfId="0" applyNumberFormat="1" applyFill="1" applyBorder="1" applyAlignment="1">
      <alignment horizontal="right"/>
    </xf>
    <xf numFmtId="164" fontId="0" fillId="9" borderId="18" xfId="0" applyNumberFormat="1" applyFill="1" applyBorder="1" applyAlignment="1">
      <alignment horizontal="right"/>
    </xf>
    <xf numFmtId="164" fontId="0" fillId="0" borderId="14" xfId="0" applyNumberFormat="1" applyBorder="1" applyAlignment="1">
      <alignment horizontal="right"/>
    </xf>
    <xf numFmtId="0" fontId="7" fillId="9" borderId="19" xfId="0" applyFont="1" applyFill="1" applyBorder="1" applyAlignment="1">
      <alignment horizontal="center"/>
    </xf>
    <xf numFmtId="0" fontId="0" fillId="9" borderId="0" xfId="0" applyFill="1" applyBorder="1" applyAlignment="1">
      <alignment horizontal="center"/>
    </xf>
    <xf numFmtId="0" fontId="7" fillId="3" borderId="13" xfId="0" applyFont="1" applyFill="1" applyBorder="1" applyAlignment="1">
      <alignment horizontal="center"/>
    </xf>
    <xf numFmtId="0" fontId="0" fillId="3" borderId="15" xfId="0" applyFill="1" applyBorder="1" applyAlignment="1">
      <alignment horizontal="center"/>
    </xf>
    <xf numFmtId="164" fontId="0" fillId="3" borderId="14" xfId="0" applyNumberFormat="1" applyFill="1" applyBorder="1" applyAlignment="1">
      <alignment horizontal="right"/>
    </xf>
    <xf numFmtId="165" fontId="0" fillId="0" borderId="0" xfId="0" applyNumberFormat="1" applyBorder="1" applyAlignment="1">
      <alignment horizontal="right"/>
    </xf>
    <xf numFmtId="165" fontId="0" fillId="2" borderId="0" xfId="0" applyNumberFormat="1" applyFill="1" applyBorder="1" applyAlignment="1">
      <alignment horizontal="right"/>
    </xf>
    <xf numFmtId="0" fontId="9" fillId="2" borderId="18" xfId="0" applyFont="1" applyFill="1" applyBorder="1" applyAlignment="1">
      <alignment horizontal="center"/>
    </xf>
    <xf numFmtId="0" fontId="0" fillId="2" borderId="0" xfId="0" applyFill="1" applyBorder="1" applyAlignment="1">
      <alignment horizontal="center"/>
    </xf>
    <xf numFmtId="0" fontId="9" fillId="2" borderId="16" xfId="0" applyFont="1" applyFill="1" applyBorder="1" applyAlignment="1">
      <alignment horizontal="center"/>
    </xf>
    <xf numFmtId="0" fontId="12" fillId="2" borderId="20" xfId="0" applyFont="1" applyFill="1" applyBorder="1" applyAlignment="1">
      <alignment horizontal="center"/>
    </xf>
    <xf numFmtId="0" fontId="9" fillId="3" borderId="18" xfId="0" applyFont="1" applyFill="1" applyBorder="1"/>
    <xf numFmtId="0" fontId="0" fillId="3" borderId="21" xfId="0" applyFill="1"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3" fontId="0" fillId="8" borderId="23" xfId="0" applyNumberFormat="1" applyFont="1" applyFill="1" applyBorder="1" applyAlignment="1" applyProtection="1">
      <alignment horizontal="left" vertical="center"/>
      <protection locked="0"/>
    </xf>
    <xf numFmtId="164" fontId="0" fillId="0" borderId="18" xfId="0" applyNumberFormat="1" applyBorder="1" applyAlignment="1">
      <alignment horizontal="right"/>
    </xf>
    <xf numFmtId="0" fontId="0" fillId="0" borderId="22" xfId="0" applyBorder="1" applyAlignment="1">
      <alignment horizontal="center"/>
    </xf>
    <xf numFmtId="2" fontId="0" fillId="3" borderId="14" xfId="0" applyNumberFormat="1" applyFill="1" applyBorder="1" applyAlignment="1">
      <alignment horizontal="center"/>
    </xf>
    <xf numFmtId="164" fontId="0" fillId="3" borderId="22" xfId="0" applyNumberFormat="1" applyFill="1" applyBorder="1" applyAlignment="1">
      <alignment horizontal="right"/>
    </xf>
    <xf numFmtId="0" fontId="0" fillId="8" borderId="18" xfId="0" applyFill="1" applyBorder="1"/>
    <xf numFmtId="166" fontId="0" fillId="0" borderId="16" xfId="0" applyNumberFormat="1" applyBorder="1" applyAlignment="1">
      <alignment horizontal="right"/>
    </xf>
    <xf numFmtId="166" fontId="0" fillId="0" borderId="0" xfId="0" applyNumberFormat="1" applyBorder="1" applyAlignment="1">
      <alignment horizontal="right"/>
    </xf>
    <xf numFmtId="166" fontId="0" fillId="9" borderId="0" xfId="0" applyNumberFormat="1" applyFill="1" applyBorder="1" applyAlignment="1">
      <alignment horizontal="right"/>
    </xf>
    <xf numFmtId="166" fontId="0" fillId="0" borderId="0" xfId="0" applyNumberFormat="1" applyAlignment="1">
      <alignment horizontal="right"/>
    </xf>
    <xf numFmtId="166" fontId="0" fillId="2" borderId="18" xfId="0" applyNumberFormat="1" applyFill="1" applyBorder="1" applyAlignment="1">
      <alignment horizontal="right"/>
    </xf>
    <xf numFmtId="0" fontId="7" fillId="9" borderId="22" xfId="0" applyFont="1" applyFill="1" applyBorder="1" applyAlignment="1">
      <alignment horizontal="center"/>
    </xf>
    <xf numFmtId="0" fontId="12" fillId="8" borderId="18" xfId="0" applyFont="1" applyFill="1" applyBorder="1" applyAlignment="1">
      <alignment horizontal="center"/>
    </xf>
    <xf numFmtId="0" fontId="9" fillId="0" borderId="10" xfId="0" applyFont="1" applyFill="1" applyBorder="1"/>
    <xf numFmtId="0" fontId="9" fillId="0" borderId="11" xfId="0" applyFont="1" applyBorder="1"/>
    <xf numFmtId="164" fontId="9" fillId="0" borderId="11" xfId="0" applyNumberFormat="1" applyFont="1" applyBorder="1" applyAlignment="1">
      <alignment horizontal="right"/>
    </xf>
    <xf numFmtId="164" fontId="9" fillId="2" borderId="11" xfId="0" applyNumberFormat="1" applyFont="1" applyFill="1" applyBorder="1" applyAlignment="1">
      <alignment horizontal="right"/>
    </xf>
    <xf numFmtId="164" fontId="9" fillId="9" borderId="11" xfId="0" applyNumberFormat="1" applyFont="1" applyFill="1" applyBorder="1" applyAlignment="1">
      <alignment horizontal="right"/>
    </xf>
    <xf numFmtId="0" fontId="9" fillId="3" borderId="9" xfId="0" applyFont="1" applyFill="1" applyBorder="1" applyAlignment="1">
      <alignment horizontal="right"/>
    </xf>
    <xf numFmtId="0" fontId="9" fillId="0" borderId="20" xfId="0" applyFont="1" applyBorder="1" applyAlignment="1">
      <alignment horizontal="right"/>
    </xf>
    <xf numFmtId="164" fontId="9" fillId="0" borderId="20" xfId="0" applyNumberFormat="1" applyFont="1" applyBorder="1" applyAlignment="1">
      <alignment horizontal="right"/>
    </xf>
    <xf numFmtId="166" fontId="9" fillId="0" borderId="20" xfId="0" applyNumberFormat="1" applyFont="1" applyBorder="1" applyAlignment="1">
      <alignment horizontal="right"/>
    </xf>
    <xf numFmtId="166" fontId="9" fillId="9" borderId="11" xfId="0" applyNumberFormat="1" applyFont="1" applyFill="1" applyBorder="1" applyAlignment="1">
      <alignment horizontal="right"/>
    </xf>
    <xf numFmtId="0" fontId="9" fillId="0" borderId="19" xfId="0" applyFont="1" applyBorder="1" applyAlignment="1">
      <alignment horizontal="right"/>
    </xf>
    <xf numFmtId="0" fontId="9" fillId="0" borderId="21" xfId="0" applyFont="1" applyBorder="1" applyAlignment="1">
      <alignment horizontal="right"/>
    </xf>
    <xf numFmtId="165" fontId="9" fillId="2" borderId="11" xfId="0" applyNumberFormat="1" applyFont="1" applyFill="1" applyBorder="1" applyAlignment="1">
      <alignment horizontal="right"/>
    </xf>
    <xf numFmtId="166" fontId="9" fillId="2" borderId="12" xfId="0" applyNumberFormat="1" applyFont="1" applyFill="1" applyBorder="1" applyAlignment="1">
      <alignment horizontal="right"/>
    </xf>
    <xf numFmtId="0" fontId="9" fillId="2" borderId="13" xfId="0" applyFont="1" applyFill="1" applyBorder="1" applyAlignment="1">
      <alignment horizontal="center"/>
    </xf>
    <xf numFmtId="0" fontId="9" fillId="0" borderId="17" xfId="0" applyFont="1" applyBorder="1" applyAlignment="1"/>
    <xf numFmtId="2" fontId="0" fillId="14" borderId="0" xfId="0" applyNumberFormat="1" applyFill="1" applyBorder="1" applyAlignment="1">
      <alignment horizontal="center"/>
    </xf>
    <xf numFmtId="2" fontId="0" fillId="14" borderId="18" xfId="0" applyNumberFormat="1" applyFill="1" applyBorder="1" applyAlignment="1">
      <alignment horizontal="center"/>
    </xf>
    <xf numFmtId="2" fontId="0" fillId="14" borderId="22" xfId="0" applyNumberFormat="1" applyFill="1" applyBorder="1" applyAlignment="1">
      <alignment horizontal="center"/>
    </xf>
    <xf numFmtId="4" fontId="0" fillId="0" borderId="0" xfId="0" applyNumberFormat="1"/>
    <xf numFmtId="0" fontId="0" fillId="4" borderId="0" xfId="0" applyFont="1" applyFill="1" applyAlignment="1">
      <alignment vertical="center"/>
    </xf>
    <xf numFmtId="0" fontId="0" fillId="0" borderId="0" xfId="0" applyAlignment="1">
      <alignment horizontal="center" vertical="center"/>
    </xf>
    <xf numFmtId="2" fontId="0" fillId="0" borderId="0" xfId="0" applyNumberFormat="1" applyAlignment="1">
      <alignment horizontal="center" vertical="center"/>
    </xf>
    <xf numFmtId="4" fontId="0" fillId="4" borderId="20" xfId="0" applyNumberFormat="1" applyFont="1" applyFill="1" applyBorder="1" applyAlignment="1">
      <alignment horizontal="center" vertical="center"/>
    </xf>
    <xf numFmtId="4" fontId="8" fillId="4" borderId="20" xfId="0" applyNumberFormat="1" applyFont="1" applyFill="1" applyBorder="1" applyAlignment="1">
      <alignment horizontal="center" vertical="center"/>
    </xf>
    <xf numFmtId="2" fontId="0" fillId="0" borderId="0" xfId="0" applyNumberFormat="1" applyAlignment="1">
      <alignment horizontal="center"/>
    </xf>
    <xf numFmtId="4" fontId="0" fillId="6" borderId="0" xfId="0" applyNumberFormat="1" applyFont="1" applyFill="1" applyAlignment="1">
      <alignment horizontal="left" vertical="center"/>
    </xf>
    <xf numFmtId="4" fontId="18" fillId="6" borderId="0" xfId="0" applyNumberFormat="1" applyFont="1" applyFill="1" applyAlignment="1">
      <alignment horizontal="left" vertical="center"/>
    </xf>
    <xf numFmtId="4" fontId="0" fillId="6" borderId="20" xfId="0" applyNumberFormat="1" applyFont="1" applyFill="1" applyBorder="1" applyAlignment="1">
      <alignment horizontal="center" vertical="center"/>
    </xf>
    <xf numFmtId="4" fontId="8" fillId="6" borderId="20" xfId="0" applyNumberFormat="1" applyFont="1" applyFill="1" applyBorder="1" applyAlignment="1">
      <alignment horizontal="center" vertical="center"/>
    </xf>
    <xf numFmtId="2" fontId="0" fillId="8" borderId="0" xfId="0" applyNumberFormat="1" applyFill="1" applyBorder="1" applyAlignment="1">
      <alignment horizontal="center"/>
    </xf>
    <xf numFmtId="165" fontId="0" fillId="8" borderId="18" xfId="0" applyNumberFormat="1" applyFill="1" applyBorder="1" applyAlignment="1">
      <alignment horizontal="center"/>
    </xf>
    <xf numFmtId="0" fontId="9" fillId="8" borderId="0" xfId="0" applyFont="1" applyFill="1" applyBorder="1"/>
    <xf numFmtId="164" fontId="0" fillId="0" borderId="13" xfId="0" applyNumberFormat="1" applyBorder="1"/>
    <xf numFmtId="164" fontId="0" fillId="0" borderId="14" xfId="0" applyNumberFormat="1" applyBorder="1"/>
    <xf numFmtId="0" fontId="1" fillId="0" borderId="13" xfId="0" applyFont="1" applyBorder="1" applyAlignment="1">
      <alignment horizontal="center"/>
    </xf>
    <xf numFmtId="0" fontId="7" fillId="0" borderId="14" xfId="0" applyFont="1" applyBorder="1" applyAlignment="1">
      <alignment horizontal="center"/>
    </xf>
    <xf numFmtId="3" fontId="0" fillId="8" borderId="23" xfId="0" applyNumberFormat="1" applyFont="1" applyFill="1" applyBorder="1" applyAlignment="1" applyProtection="1">
      <alignment horizontal="left" vertical="center" wrapText="1"/>
      <protection locked="0"/>
    </xf>
    <xf numFmtId="0" fontId="9" fillId="8" borderId="0" xfId="0" applyFont="1" applyFill="1" applyBorder="1" applyAlignment="1">
      <alignment horizontal="center"/>
    </xf>
    <xf numFmtId="0" fontId="0" fillId="0" borderId="0" xfId="0" applyAlignment="1">
      <alignment vertical="center" wrapText="1"/>
    </xf>
    <xf numFmtId="0" fontId="0" fillId="0" borderId="33" xfId="0" applyBorder="1" applyAlignment="1">
      <alignment horizontal="center"/>
    </xf>
    <xf numFmtId="0" fontId="0" fillId="0" borderId="34" xfId="0"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4" fontId="8" fillId="4" borderId="0" xfId="0" applyNumberFormat="1" applyFont="1" applyFill="1" applyBorder="1" applyAlignment="1">
      <alignment horizontal="center" vertical="center"/>
    </xf>
    <xf numFmtId="165" fontId="0" fillId="0" borderId="0" xfId="0" applyNumberFormat="1" applyAlignment="1">
      <alignment horizontal="center" vertical="center"/>
    </xf>
    <xf numFmtId="165" fontId="0" fillId="0" borderId="0" xfId="0" applyNumberFormat="1" applyAlignment="1">
      <alignment horizontal="center"/>
    </xf>
    <xf numFmtId="0" fontId="17" fillId="0" borderId="0" xfId="0" applyFont="1"/>
    <xf numFmtId="4" fontId="0" fillId="2" borderId="0" xfId="0" applyNumberFormat="1" applyFont="1" applyFill="1" applyAlignment="1">
      <alignment vertical="center"/>
    </xf>
    <xf numFmtId="4" fontId="0" fillId="2" borderId="0" xfId="0" applyNumberFormat="1" applyFill="1" applyAlignment="1">
      <alignment vertical="center"/>
    </xf>
    <xf numFmtId="4" fontId="8" fillId="2" borderId="20" xfId="0" applyNumberFormat="1" applyFont="1" applyFill="1" applyBorder="1" applyAlignment="1">
      <alignment horizontal="center" vertical="center"/>
    </xf>
    <xf numFmtId="4" fontId="0" fillId="2" borderId="20" xfId="0" applyNumberFormat="1" applyFill="1" applyBorder="1" applyAlignment="1">
      <alignment horizontal="center" vertical="center"/>
    </xf>
    <xf numFmtId="0" fontId="2" fillId="8" borderId="0" xfId="0" applyFont="1" applyFill="1" applyBorder="1" applyAlignment="1">
      <alignment horizontal="center"/>
    </xf>
    <xf numFmtId="2" fontId="0" fillId="14" borderId="24" xfId="0" applyNumberFormat="1" applyFill="1" applyBorder="1" applyAlignment="1">
      <alignment horizontal="center"/>
    </xf>
    <xf numFmtId="2" fontId="0" fillId="8" borderId="5" xfId="0" applyNumberFormat="1" applyFill="1" applyBorder="1" applyAlignment="1">
      <alignment horizontal="center"/>
    </xf>
    <xf numFmtId="0" fontId="7" fillId="2" borderId="18" xfId="0" applyFont="1" applyFill="1" applyBorder="1" applyAlignment="1">
      <alignment horizontal="center"/>
    </xf>
    <xf numFmtId="0" fontId="0" fillId="2" borderId="21" xfId="0" applyFill="1" applyBorder="1" applyAlignment="1">
      <alignment horizontal="center"/>
    </xf>
    <xf numFmtId="164" fontId="9" fillId="0" borderId="19" xfId="0" applyNumberFormat="1" applyFont="1" applyBorder="1" applyAlignment="1">
      <alignment horizontal="right"/>
    </xf>
    <xf numFmtId="164" fontId="0" fillId="0" borderId="0" xfId="0" applyNumberFormat="1" applyBorder="1"/>
    <xf numFmtId="0" fontId="2" fillId="8" borderId="4" xfId="0" applyFont="1" applyFill="1" applyBorder="1" applyAlignment="1">
      <alignment horizontal="center"/>
    </xf>
    <xf numFmtId="0" fontId="2" fillId="8" borderId="5" xfId="0" applyFont="1" applyFill="1" applyBorder="1" applyAlignment="1">
      <alignment horizontal="center"/>
    </xf>
    <xf numFmtId="164" fontId="0" fillId="0" borderId="0" xfId="0" applyNumberFormat="1"/>
    <xf numFmtId="2" fontId="0" fillId="0" borderId="0" xfId="0" applyNumberFormat="1"/>
    <xf numFmtId="0" fontId="18" fillId="0" borderId="0" xfId="0" applyFont="1"/>
    <xf numFmtId="2" fontId="0" fillId="0" borderId="0" xfId="0" applyNumberFormat="1" applyFont="1"/>
    <xf numFmtId="2" fontId="18" fillId="0" borderId="0" xfId="0" applyNumberFormat="1" applyFont="1"/>
    <xf numFmtId="164" fontId="0" fillId="0" borderId="0" xfId="0" applyNumberFormat="1" applyFont="1"/>
    <xf numFmtId="168" fontId="0" fillId="0" borderId="0" xfId="0" applyNumberFormat="1" applyFont="1"/>
    <xf numFmtId="165" fontId="0" fillId="0" borderId="0" xfId="0" applyNumberFormat="1" applyFont="1"/>
    <xf numFmtId="164" fontId="2" fillId="8" borderId="14" xfId="0" applyNumberFormat="1" applyFont="1" applyFill="1" applyBorder="1"/>
    <xf numFmtId="0" fontId="0" fillId="0" borderId="0" xfId="0" applyFont="1"/>
    <xf numFmtId="0" fontId="17" fillId="0" borderId="0" xfId="0" applyFont="1" applyBorder="1" applyAlignment="1">
      <alignment horizontal="center"/>
    </xf>
    <xf numFmtId="4" fontId="17" fillId="0" borderId="0" xfId="0" applyNumberFormat="1" applyFont="1" applyBorder="1" applyAlignment="1">
      <alignment horizontal="center"/>
    </xf>
    <xf numFmtId="2" fontId="0" fillId="0" borderId="0" xfId="0" applyNumberFormat="1" applyAlignment="1">
      <alignment vertical="center"/>
    </xf>
    <xf numFmtId="0" fontId="0" fillId="0" borderId="0" xfId="0" applyAlignment="1">
      <alignment vertical="top" wrapText="1"/>
    </xf>
    <xf numFmtId="1" fontId="0" fillId="0" borderId="24" xfId="0" applyNumberFormat="1" applyBorder="1" applyAlignment="1">
      <alignment horizontal="right"/>
    </xf>
    <xf numFmtId="1" fontId="0" fillId="0" borderId="22" xfId="0" applyNumberFormat="1" applyBorder="1" applyAlignment="1">
      <alignment horizontal="right"/>
    </xf>
    <xf numFmtId="0" fontId="0" fillId="8" borderId="36" xfId="0" applyFill="1" applyBorder="1" applyAlignment="1">
      <alignment horizontal="left"/>
    </xf>
    <xf numFmtId="167" fontId="0" fillId="0" borderId="0" xfId="0" applyNumberFormat="1" applyBorder="1" applyAlignment="1">
      <alignment horizontal="right"/>
    </xf>
    <xf numFmtId="0" fontId="0" fillId="0" borderId="20" xfId="0" applyBorder="1"/>
    <xf numFmtId="166" fontId="9" fillId="0" borderId="21" xfId="0" applyNumberFormat="1" applyFont="1" applyBorder="1" applyAlignment="1">
      <alignment horizontal="right"/>
    </xf>
    <xf numFmtId="167" fontId="0" fillId="0" borderId="16" xfId="0" applyNumberFormat="1" applyBorder="1" applyAlignment="1">
      <alignment horizontal="right"/>
    </xf>
    <xf numFmtId="164" fontId="0" fillId="0" borderId="13" xfId="0" applyNumberFormat="1" applyBorder="1" applyAlignment="1">
      <alignment horizontal="right"/>
    </xf>
    <xf numFmtId="0" fontId="0" fillId="3" borderId="14" xfId="0" applyFill="1" applyBorder="1" applyAlignment="1">
      <alignment horizontal="center"/>
    </xf>
    <xf numFmtId="0" fontId="9" fillId="3" borderId="15" xfId="0" applyFont="1" applyFill="1" applyBorder="1" applyAlignment="1">
      <alignment horizontal="right"/>
    </xf>
    <xf numFmtId="164" fontId="0" fillId="3" borderId="13" xfId="0" applyNumberFormat="1" applyFill="1" applyBorder="1" applyAlignment="1">
      <alignment horizontal="right"/>
    </xf>
    <xf numFmtId="164" fontId="9" fillId="0" borderId="10" xfId="0" applyNumberFormat="1" applyFont="1" applyBorder="1" applyAlignment="1">
      <alignment horizontal="right"/>
    </xf>
    <xf numFmtId="0" fontId="9" fillId="0" borderId="10" xfId="0" applyFont="1" applyBorder="1" applyAlignment="1">
      <alignment horizontal="right"/>
    </xf>
    <xf numFmtId="0" fontId="9" fillId="0" borderId="11" xfId="0" applyFont="1" applyBorder="1" applyAlignment="1">
      <alignment horizontal="right"/>
    </xf>
    <xf numFmtId="0" fontId="9" fillId="0" borderId="12" xfId="0" applyFont="1" applyBorder="1" applyAlignment="1">
      <alignment horizontal="right"/>
    </xf>
    <xf numFmtId="0" fontId="8" fillId="8" borderId="22" xfId="0" applyFont="1" applyFill="1" applyBorder="1" applyAlignment="1">
      <alignment horizontal="center"/>
    </xf>
    <xf numFmtId="0" fontId="0" fillId="8" borderId="22" xfId="0" applyFill="1" applyBorder="1"/>
    <xf numFmtId="0" fontId="7" fillId="8" borderId="18" xfId="0" applyFont="1" applyFill="1" applyBorder="1" applyAlignment="1">
      <alignment horizontal="center"/>
    </xf>
    <xf numFmtId="167" fontId="9" fillId="0" borderId="20" xfId="0" applyNumberFormat="1" applyFont="1" applyBorder="1" applyAlignment="1">
      <alignment horizontal="right"/>
    </xf>
    <xf numFmtId="3" fontId="9" fillId="0" borderId="21" xfId="0" applyNumberFormat="1" applyFont="1" applyBorder="1" applyAlignment="1">
      <alignment horizontal="right"/>
    </xf>
    <xf numFmtId="169" fontId="0" fillId="2" borderId="0" xfId="0" applyNumberFormat="1" applyFill="1" applyBorder="1" applyAlignment="1">
      <alignment horizontal="right"/>
    </xf>
    <xf numFmtId="169" fontId="0" fillId="2" borderId="18" xfId="0" applyNumberFormat="1" applyFill="1" applyBorder="1" applyAlignment="1">
      <alignment horizontal="right"/>
    </xf>
    <xf numFmtId="169" fontId="0" fillId="3" borderId="18" xfId="0" applyNumberFormat="1" applyFill="1" applyBorder="1" applyAlignment="1">
      <alignment horizontal="right"/>
    </xf>
    <xf numFmtId="169" fontId="9" fillId="2" borderId="11" xfId="0" applyNumberFormat="1" applyFont="1" applyFill="1" applyBorder="1" applyAlignment="1">
      <alignment horizontal="right"/>
    </xf>
    <xf numFmtId="169" fontId="9" fillId="2" borderId="12" xfId="0" applyNumberFormat="1" applyFont="1" applyFill="1" applyBorder="1" applyAlignment="1">
      <alignment horizontal="right"/>
    </xf>
    <xf numFmtId="169" fontId="9" fillId="3" borderId="9" xfId="0" applyNumberFormat="1" applyFont="1" applyFill="1" applyBorder="1" applyAlignment="1">
      <alignment horizontal="right"/>
    </xf>
    <xf numFmtId="0" fontId="0" fillId="0" borderId="33" xfId="0" applyBorder="1" applyAlignment="1">
      <alignment horizontal="center" wrapText="1"/>
    </xf>
    <xf numFmtId="166" fontId="9" fillId="9" borderId="10" xfId="0" applyNumberFormat="1" applyFont="1" applyFill="1" applyBorder="1" applyAlignment="1">
      <alignment horizontal="right"/>
    </xf>
    <xf numFmtId="0" fontId="9" fillId="0" borderId="24" xfId="0" applyFont="1" applyBorder="1" applyAlignment="1">
      <alignment horizontal="right"/>
    </xf>
    <xf numFmtId="0" fontId="9" fillId="0" borderId="16" xfId="0" applyFont="1" applyBorder="1" applyAlignment="1">
      <alignment horizontal="right"/>
    </xf>
    <xf numFmtId="0" fontId="9" fillId="0" borderId="17" xfId="0" applyFont="1" applyBorder="1" applyAlignment="1">
      <alignment horizontal="right"/>
    </xf>
    <xf numFmtId="168" fontId="0" fillId="9" borderId="0" xfId="0" applyNumberFormat="1" applyFill="1" applyBorder="1" applyAlignment="1">
      <alignment horizontal="right"/>
    </xf>
    <xf numFmtId="168" fontId="0" fillId="9" borderId="18" xfId="0" applyNumberFormat="1" applyFill="1" applyBorder="1" applyAlignment="1">
      <alignment horizontal="right"/>
    </xf>
    <xf numFmtId="168" fontId="0" fillId="9" borderId="22" xfId="0" applyNumberFormat="1" applyFill="1" applyBorder="1" applyAlignment="1">
      <alignment horizontal="right"/>
    </xf>
    <xf numFmtId="168" fontId="0" fillId="0" borderId="24" xfId="0" applyNumberFormat="1" applyBorder="1" applyAlignment="1">
      <alignment horizontal="right"/>
    </xf>
    <xf numFmtId="168" fontId="0" fillId="0" borderId="22" xfId="0" applyNumberFormat="1" applyBorder="1" applyAlignment="1">
      <alignment horizontal="right"/>
    </xf>
    <xf numFmtId="168" fontId="9" fillId="9" borderId="11" xfId="0" applyNumberFormat="1" applyFont="1" applyFill="1" applyBorder="1" applyAlignment="1">
      <alignment horizontal="right"/>
    </xf>
    <xf numFmtId="168" fontId="9" fillId="9" borderId="12" xfId="0" applyNumberFormat="1" applyFont="1" applyFill="1" applyBorder="1" applyAlignment="1">
      <alignment horizontal="right"/>
    </xf>
    <xf numFmtId="168" fontId="9" fillId="9" borderId="10" xfId="0" applyNumberFormat="1" applyFont="1" applyFill="1" applyBorder="1" applyAlignment="1">
      <alignment horizontal="right"/>
    </xf>
    <xf numFmtId="168" fontId="9" fillId="0" borderId="20" xfId="0" applyNumberFormat="1" applyFont="1" applyBorder="1" applyAlignment="1">
      <alignment horizontal="right"/>
    </xf>
    <xf numFmtId="169" fontId="9" fillId="0" borderId="20" xfId="0" applyNumberFormat="1" applyFont="1" applyBorder="1" applyAlignment="1">
      <alignment horizontal="right"/>
    </xf>
    <xf numFmtId="169" fontId="0" fillId="0" borderId="17" xfId="0" applyNumberFormat="1" applyBorder="1" applyAlignment="1">
      <alignment horizontal="right"/>
    </xf>
    <xf numFmtId="169" fontId="0" fillId="0" borderId="18" xfId="0" applyNumberFormat="1" applyBorder="1" applyAlignment="1">
      <alignment horizontal="right"/>
    </xf>
    <xf numFmtId="169" fontId="9" fillId="2" borderId="10" xfId="0" applyNumberFormat="1" applyFont="1" applyFill="1" applyBorder="1" applyAlignment="1">
      <alignment horizontal="right"/>
    </xf>
    <xf numFmtId="0" fontId="0" fillId="0" borderId="16" xfId="0" applyBorder="1"/>
    <xf numFmtId="165" fontId="0" fillId="0" borderId="0" xfId="0" applyNumberFormat="1" applyBorder="1" applyAlignment="1">
      <alignment horizontal="center"/>
    </xf>
    <xf numFmtId="3" fontId="0" fillId="8" borderId="30" xfId="0" applyNumberFormat="1" applyFont="1" applyFill="1" applyBorder="1" applyAlignment="1" applyProtection="1">
      <alignment horizontal="left" vertical="center" wrapText="1"/>
      <protection locked="0"/>
    </xf>
    <xf numFmtId="1" fontId="0" fillId="0" borderId="14" xfId="0" applyNumberFormat="1" applyBorder="1" applyAlignment="1">
      <alignment horizontal="right"/>
    </xf>
    <xf numFmtId="164" fontId="24" fillId="22" borderId="14" xfId="0" applyNumberFormat="1" applyFont="1" applyFill="1" applyBorder="1" applyAlignment="1">
      <alignment horizontal="right"/>
    </xf>
    <xf numFmtId="164" fontId="24" fillId="22" borderId="15" xfId="0" applyNumberFormat="1" applyFont="1" applyFill="1" applyBorder="1" applyAlignment="1">
      <alignment horizontal="right"/>
    </xf>
    <xf numFmtId="164" fontId="0" fillId="10" borderId="14" xfId="0" applyNumberFormat="1" applyFill="1" applyBorder="1"/>
    <xf numFmtId="164" fontId="0" fillId="10" borderId="0" xfId="0" applyNumberFormat="1" applyFill="1" applyBorder="1"/>
    <xf numFmtId="0" fontId="0" fillId="0" borderId="17" xfId="0" applyBorder="1"/>
    <xf numFmtId="0" fontId="0" fillId="0" borderId="22" xfId="0" applyBorder="1" applyAlignment="1">
      <alignment horizontal="left" vertical="center"/>
    </xf>
    <xf numFmtId="0" fontId="0" fillId="0" borderId="18" xfId="0" applyBorder="1"/>
    <xf numFmtId="0" fontId="0" fillId="0" borderId="19" xfId="0" applyBorder="1" applyAlignment="1">
      <alignment horizontal="left" vertical="center"/>
    </xf>
    <xf numFmtId="0" fontId="0" fillId="0" borderId="21" xfId="0" applyBorder="1"/>
    <xf numFmtId="0" fontId="27" fillId="0" borderId="24" xfId="0" applyFont="1" applyFill="1" applyBorder="1" applyAlignment="1">
      <alignment horizontal="left"/>
    </xf>
    <xf numFmtId="164" fontId="24" fillId="22" borderId="14" xfId="0" applyNumberFormat="1" applyFont="1" applyFill="1" applyBorder="1"/>
    <xf numFmtId="164" fontId="24" fillId="22" borderId="0" xfId="0" applyNumberFormat="1" applyFont="1" applyFill="1" applyBorder="1"/>
    <xf numFmtId="2" fontId="24" fillId="22" borderId="22" xfId="0" applyNumberFormat="1" applyFont="1" applyFill="1" applyBorder="1" applyAlignment="1">
      <alignment horizontal="center"/>
    </xf>
    <xf numFmtId="2" fontId="24" fillId="22" borderId="0" xfId="0" applyNumberFormat="1" applyFont="1" applyFill="1" applyBorder="1" applyAlignment="1">
      <alignment horizontal="center"/>
    </xf>
    <xf numFmtId="2" fontId="24" fillId="22" borderId="18" xfId="0" applyNumberFormat="1" applyFont="1" applyFill="1" applyBorder="1" applyAlignment="1">
      <alignment horizontal="center"/>
    </xf>
    <xf numFmtId="164" fontId="28" fillId="22" borderId="14" xfId="0" applyNumberFormat="1" applyFont="1" applyFill="1" applyBorder="1"/>
    <xf numFmtId="2" fontId="24" fillId="22" borderId="14" xfId="0" applyNumberFormat="1" applyFont="1" applyFill="1" applyBorder="1" applyAlignment="1">
      <alignment horizontal="center"/>
    </xf>
    <xf numFmtId="0" fontId="24" fillId="22" borderId="0" xfId="0" applyFont="1" applyFill="1"/>
    <xf numFmtId="164" fontId="24" fillId="22" borderId="15" xfId="0" applyNumberFormat="1" applyFont="1" applyFill="1" applyBorder="1"/>
    <xf numFmtId="0" fontId="24" fillId="22" borderId="19" xfId="0" applyFont="1" applyFill="1" applyBorder="1"/>
    <xf numFmtId="2" fontId="24" fillId="22" borderId="20" xfId="0" applyNumberFormat="1" applyFont="1" applyFill="1" applyBorder="1" applyAlignment="1">
      <alignment horizontal="center"/>
    </xf>
    <xf numFmtId="2" fontId="24" fillId="22" borderId="21" xfId="0" applyNumberFormat="1" applyFont="1" applyFill="1" applyBorder="1" applyAlignment="1">
      <alignment horizontal="center"/>
    </xf>
    <xf numFmtId="2" fontId="24" fillId="22" borderId="15" xfId="0" applyNumberFormat="1" applyFont="1" applyFill="1" applyBorder="1" applyAlignment="1">
      <alignment horizontal="center"/>
    </xf>
    <xf numFmtId="164" fontId="18" fillId="0" borderId="18" xfId="0" applyNumberFormat="1" applyFont="1" applyBorder="1" applyAlignment="1">
      <alignment horizontal="center"/>
    </xf>
    <xf numFmtId="170" fontId="0" fillId="0" borderId="13" xfId="3" applyNumberFormat="1" applyFont="1" applyBorder="1" applyAlignment="1">
      <alignment horizontal="right"/>
    </xf>
    <xf numFmtId="170" fontId="0" fillId="0" borderId="14" xfId="3" applyNumberFormat="1" applyFont="1" applyBorder="1" applyAlignment="1">
      <alignment horizontal="right"/>
    </xf>
    <xf numFmtId="170" fontId="0" fillId="0" borderId="15" xfId="3" applyNumberFormat="1" applyFont="1" applyBorder="1" applyAlignment="1">
      <alignment horizontal="right"/>
    </xf>
    <xf numFmtId="164" fontId="0" fillId="0" borderId="22" xfId="0" applyNumberFormat="1" applyBorder="1"/>
    <xf numFmtId="164" fontId="0" fillId="0" borderId="18" xfId="0" applyNumberFormat="1" applyBorder="1"/>
    <xf numFmtId="1" fontId="0" fillId="0" borderId="13" xfId="0" applyNumberFormat="1" applyBorder="1" applyAlignment="1">
      <alignment horizontal="right"/>
    </xf>
    <xf numFmtId="1" fontId="0" fillId="0" borderId="15" xfId="0" applyNumberFormat="1" applyBorder="1" applyAlignment="1">
      <alignment horizontal="right"/>
    </xf>
    <xf numFmtId="0" fontId="2" fillId="14" borderId="0" xfId="0" applyFont="1" applyFill="1" applyBorder="1" applyAlignment="1">
      <alignment horizontal="left"/>
    </xf>
    <xf numFmtId="0" fontId="2" fillId="14" borderId="0" xfId="0" applyFont="1" applyFill="1" applyBorder="1" applyAlignment="1">
      <alignment horizontal="center"/>
    </xf>
    <xf numFmtId="0" fontId="0" fillId="8" borderId="0" xfId="0" applyFill="1" applyBorder="1"/>
    <xf numFmtId="0" fontId="24" fillId="22" borderId="36" xfId="0" applyFont="1" applyFill="1" applyBorder="1" applyAlignment="1">
      <alignment horizontal="left"/>
    </xf>
    <xf numFmtId="2" fontId="24" fillId="22" borderId="5" xfId="0" applyNumberFormat="1" applyFont="1" applyFill="1" applyBorder="1" applyAlignment="1">
      <alignment horizontal="left"/>
    </xf>
    <xf numFmtId="0" fontId="28" fillId="22" borderId="4" xfId="0" applyFont="1" applyFill="1" applyBorder="1" applyAlignment="1">
      <alignment horizontal="center"/>
    </xf>
    <xf numFmtId="0" fontId="24" fillId="22" borderId="0" xfId="0" applyFont="1" applyFill="1" applyBorder="1" applyAlignment="1">
      <alignment horizontal="center"/>
    </xf>
    <xf numFmtId="2" fontId="24" fillId="22" borderId="5" xfId="0" applyNumberFormat="1" applyFont="1" applyFill="1" applyBorder="1" applyAlignment="1">
      <alignment horizontal="center"/>
    </xf>
    <xf numFmtId="0" fontId="28" fillId="22" borderId="0" xfId="0" applyFont="1" applyFill="1" applyBorder="1" applyAlignment="1">
      <alignment horizontal="center"/>
    </xf>
    <xf numFmtId="0" fontId="24" fillId="22" borderId="5" xfId="0" applyFont="1" applyFill="1" applyBorder="1" applyAlignment="1">
      <alignment horizontal="center"/>
    </xf>
    <xf numFmtId="0" fontId="24" fillId="22" borderId="4" xfId="0" applyFont="1" applyFill="1" applyBorder="1" applyAlignment="1">
      <alignment horizontal="center"/>
    </xf>
    <xf numFmtId="165" fontId="24" fillId="22" borderId="18" xfId="0" applyNumberFormat="1" applyFont="1" applyFill="1" applyBorder="1" applyAlignment="1">
      <alignment horizontal="center"/>
    </xf>
    <xf numFmtId="0" fontId="24" fillId="22" borderId="18" xfId="0" applyFont="1" applyFill="1" applyBorder="1" applyAlignment="1">
      <alignment horizontal="center"/>
    </xf>
    <xf numFmtId="0" fontId="24" fillId="22" borderId="0" xfId="0" applyFont="1" applyFill="1" applyAlignment="1">
      <alignment horizontal="center"/>
    </xf>
    <xf numFmtId="0" fontId="28" fillId="22" borderId="5" xfId="0" applyFont="1" applyFill="1" applyBorder="1" applyAlignment="1">
      <alignment horizontal="center"/>
    </xf>
    <xf numFmtId="2" fontId="24" fillId="0" borderId="0" xfId="0" applyNumberFormat="1" applyFont="1" applyAlignment="1">
      <alignment horizontal="center" vertical="center"/>
    </xf>
    <xf numFmtId="2" fontId="24" fillId="0" borderId="0" xfId="0" applyNumberFormat="1" applyFont="1" applyAlignment="1">
      <alignment horizontal="center"/>
    </xf>
    <xf numFmtId="171" fontId="0" fillId="3" borderId="22" xfId="0" applyNumberFormat="1" applyFill="1" applyBorder="1" applyAlignment="1">
      <alignment horizontal="right"/>
    </xf>
    <xf numFmtId="171" fontId="9" fillId="3" borderId="9" xfId="0" applyNumberFormat="1" applyFont="1" applyFill="1" applyBorder="1" applyAlignment="1">
      <alignment horizontal="right"/>
    </xf>
    <xf numFmtId="0" fontId="0" fillId="17" borderId="0" xfId="0" applyFill="1"/>
    <xf numFmtId="0" fontId="29" fillId="17" borderId="0" xfId="0" applyFont="1" applyFill="1"/>
    <xf numFmtId="0" fontId="30" fillId="17" borderId="0" xfId="0" applyFont="1" applyFill="1"/>
    <xf numFmtId="0" fontId="31" fillId="17" borderId="0" xfId="0" applyFont="1" applyFill="1"/>
    <xf numFmtId="0" fontId="1" fillId="14" borderId="10" xfId="0" applyFont="1" applyFill="1" applyBorder="1"/>
    <xf numFmtId="0" fontId="0" fillId="15" borderId="0" xfId="0" applyFill="1"/>
    <xf numFmtId="0" fontId="0" fillId="0" borderId="0" xfId="0" applyFill="1"/>
    <xf numFmtId="0" fontId="0" fillId="0" borderId="0" xfId="0" applyFill="1" applyAlignment="1">
      <alignment horizontal="center"/>
    </xf>
    <xf numFmtId="0" fontId="9" fillId="17" borderId="0" xfId="0" applyFont="1" applyFill="1"/>
    <xf numFmtId="0" fontId="1" fillId="17" borderId="0" xfId="0" applyFont="1" applyFill="1"/>
    <xf numFmtId="0" fontId="0" fillId="24" borderId="24" xfId="0" applyFont="1" applyFill="1" applyBorder="1" applyAlignment="1">
      <alignment horizontal="center" vertical="center" wrapText="1"/>
    </xf>
    <xf numFmtId="0" fontId="0" fillId="24" borderId="16" xfId="0" applyFill="1" applyBorder="1" applyAlignment="1">
      <alignment horizontal="center" vertical="center" wrapText="1"/>
    </xf>
    <xf numFmtId="0" fontId="9" fillId="24" borderId="16" xfId="0" applyFont="1" applyFill="1" applyBorder="1" applyAlignment="1">
      <alignment horizontal="center" vertical="center" wrapText="1"/>
    </xf>
    <xf numFmtId="4" fontId="0" fillId="0" borderId="20" xfId="0" applyNumberFormat="1" applyBorder="1" applyAlignment="1">
      <alignment horizontal="center"/>
    </xf>
    <xf numFmtId="0" fontId="1" fillId="0" borderId="20" xfId="0" applyFont="1" applyBorder="1"/>
    <xf numFmtId="0" fontId="32" fillId="25" borderId="24" xfId="0" applyFont="1" applyFill="1" applyBorder="1" applyAlignment="1">
      <alignment horizontal="center" vertical="center" wrapText="1"/>
    </xf>
    <xf numFmtId="0" fontId="32" fillId="25" borderId="16" xfId="0" applyFont="1" applyFill="1" applyBorder="1" applyAlignment="1">
      <alignment horizontal="center" vertical="center" wrapText="1"/>
    </xf>
    <xf numFmtId="0" fontId="34" fillId="25" borderId="16" xfId="0" applyFont="1" applyFill="1" applyBorder="1" applyAlignment="1">
      <alignment horizontal="center" vertical="center" wrapText="1"/>
    </xf>
    <xf numFmtId="4" fontId="0" fillId="0" borderId="19" xfId="0" applyNumberFormat="1" applyFont="1" applyBorder="1" applyAlignment="1">
      <alignment horizontal="center"/>
    </xf>
    <xf numFmtId="4" fontId="1" fillId="23" borderId="20" xfId="0" applyNumberFormat="1" applyFont="1" applyFill="1" applyBorder="1" applyAlignment="1">
      <alignment horizontal="center"/>
    </xf>
    <xf numFmtId="0" fontId="0" fillId="26" borderId="1" xfId="0" applyFill="1" applyBorder="1" applyAlignment="1">
      <alignment horizontal="center" vertical="center"/>
    </xf>
    <xf numFmtId="0" fontId="0" fillId="26" borderId="2" xfId="0" applyFill="1" applyBorder="1" applyAlignment="1">
      <alignment horizontal="center" vertical="center" wrapText="1"/>
    </xf>
    <xf numFmtId="0" fontId="1" fillId="26" borderId="3" xfId="0" applyFont="1" applyFill="1" applyBorder="1" applyAlignment="1">
      <alignment horizontal="center" vertical="center"/>
    </xf>
    <xf numFmtId="0" fontId="1" fillId="17" borderId="0" xfId="0" quotePrefix="1" applyFont="1" applyFill="1"/>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15" borderId="0" xfId="0" applyFont="1" applyFill="1"/>
    <xf numFmtId="0" fontId="38" fillId="0" borderId="0" xfId="0" applyFont="1"/>
    <xf numFmtId="4" fontId="0" fillId="0" borderId="20" xfId="0" applyNumberFormat="1" applyFont="1" applyBorder="1" applyAlignment="1">
      <alignment horizontal="center"/>
    </xf>
    <xf numFmtId="0" fontId="0" fillId="27" borderId="0" xfId="0" applyFill="1"/>
    <xf numFmtId="4" fontId="0" fillId="0" borderId="19" xfId="0" applyNumberFormat="1" applyFill="1" applyBorder="1" applyAlignment="1">
      <alignment horizontal="center"/>
    </xf>
    <xf numFmtId="0" fontId="43" fillId="17" borderId="0" xfId="0" applyFont="1" applyFill="1" applyAlignment="1">
      <alignment vertical="center"/>
    </xf>
    <xf numFmtId="0" fontId="44" fillId="17" borderId="0" xfId="0" applyFont="1" applyFill="1" applyAlignment="1">
      <alignment vertical="center"/>
    </xf>
    <xf numFmtId="3" fontId="7" fillId="0" borderId="23" xfId="0" applyNumberFormat="1" applyFont="1" applyFill="1" applyBorder="1" applyAlignment="1" applyProtection="1">
      <alignment horizontal="left" vertical="center"/>
      <protection locked="0"/>
    </xf>
    <xf numFmtId="3" fontId="7" fillId="0" borderId="0" xfId="0" applyNumberFormat="1" applyFont="1" applyFill="1" applyBorder="1" applyAlignment="1" applyProtection="1">
      <alignment horizontal="left" vertical="center"/>
      <protection locked="0"/>
    </xf>
    <xf numFmtId="164" fontId="46" fillId="0" borderId="18" xfId="0" applyNumberFormat="1" applyFont="1" applyBorder="1" applyAlignment="1">
      <alignment horizontal="center"/>
    </xf>
    <xf numFmtId="0" fontId="36" fillId="0" borderId="0" xfId="0" applyFont="1"/>
    <xf numFmtId="0" fontId="0" fillId="3" borderId="4" xfId="0" applyFill="1" applyBorder="1" applyAlignment="1">
      <alignment horizontal="center"/>
    </xf>
    <xf numFmtId="2" fontId="0" fillId="3" borderId="4" xfId="0" applyNumberFormat="1" applyFill="1" applyBorder="1" applyAlignment="1">
      <alignment horizontal="center"/>
    </xf>
    <xf numFmtId="164" fontId="0" fillId="0" borderId="0" xfId="0" applyNumberFormat="1" applyBorder="1" applyAlignment="1">
      <alignment horizontal="center"/>
    </xf>
    <xf numFmtId="0" fontId="0" fillId="0" borderId="7" xfId="0" applyBorder="1"/>
    <xf numFmtId="0" fontId="0" fillId="8" borderId="6" xfId="0" applyFill="1" applyBorder="1" applyAlignment="1">
      <alignment horizontal="center"/>
    </xf>
    <xf numFmtId="2" fontId="2" fillId="3" borderId="4" xfId="0" applyNumberFormat="1" applyFont="1" applyFill="1" applyBorder="1" applyAlignment="1">
      <alignment horizontal="center"/>
    </xf>
    <xf numFmtId="0" fontId="2" fillId="3" borderId="4" xfId="0" applyFont="1" applyFill="1" applyBorder="1" applyAlignment="1">
      <alignment horizontal="center"/>
    </xf>
    <xf numFmtId="0" fontId="0" fillId="0" borderId="0" xfId="0" applyBorder="1" applyAlignment="1">
      <alignment horizontal="left" vertical="center"/>
    </xf>
    <xf numFmtId="0" fontId="0" fillId="0" borderId="4" xfId="0" applyBorder="1" applyAlignment="1">
      <alignment horizontal="center"/>
    </xf>
    <xf numFmtId="0" fontId="0" fillId="8" borderId="8" xfId="0" applyFill="1" applyBorder="1" applyAlignment="1">
      <alignment horizontal="center"/>
    </xf>
    <xf numFmtId="0" fontId="9" fillId="2" borderId="24" xfId="0" applyFont="1" applyFill="1" applyBorder="1" applyAlignment="1">
      <alignment horizontal="center"/>
    </xf>
    <xf numFmtId="165" fontId="0" fillId="2" borderId="13" xfId="0" applyNumberFormat="1" applyFill="1" applyBorder="1" applyAlignment="1">
      <alignment horizontal="right"/>
    </xf>
    <xf numFmtId="165" fontId="0" fillId="2" borderId="14" xfId="0" applyNumberFormat="1" applyFill="1" applyBorder="1" applyAlignment="1">
      <alignment horizontal="right"/>
    </xf>
    <xf numFmtId="0" fontId="50" fillId="2" borderId="14" xfId="0" applyFont="1" applyFill="1" applyBorder="1" applyAlignment="1">
      <alignment horizontal="center" vertical="center"/>
    </xf>
    <xf numFmtId="4" fontId="1" fillId="20" borderId="20" xfId="0" applyNumberFormat="1" applyFont="1" applyFill="1" applyBorder="1" applyAlignment="1">
      <alignment horizontal="center"/>
    </xf>
    <xf numFmtId="0" fontId="1" fillId="0" borderId="4" xfId="0" applyFont="1" applyBorder="1" applyAlignment="1">
      <alignment horizontal="left"/>
    </xf>
    <xf numFmtId="0" fontId="0" fillId="20" borderId="0" xfId="0" applyFill="1"/>
    <xf numFmtId="2" fontId="0" fillId="17" borderId="0" xfId="0" applyNumberFormat="1" applyFill="1" applyBorder="1" applyAlignment="1">
      <alignment horizontal="center"/>
    </xf>
    <xf numFmtId="0" fontId="0" fillId="17" borderId="0" xfId="0" applyFill="1" applyBorder="1" applyAlignment="1">
      <alignment horizontal="center"/>
    </xf>
    <xf numFmtId="0" fontId="12" fillId="17" borderId="0" xfId="0" applyFont="1" applyFill="1"/>
    <xf numFmtId="0" fontId="0" fillId="10" borderId="1" xfId="0" applyFill="1" applyBorder="1" applyAlignment="1">
      <alignment horizontal="center" vertical="center"/>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13" fillId="10" borderId="0" xfId="0" applyFont="1" applyFill="1" applyBorder="1" applyAlignment="1" applyProtection="1">
      <alignment horizontal="center" vertical="center"/>
    </xf>
    <xf numFmtId="0" fontId="13" fillId="10" borderId="2" xfId="0" applyFont="1" applyFill="1" applyBorder="1" applyAlignment="1" applyProtection="1">
      <alignment horizontal="center" vertical="center"/>
    </xf>
    <xf numFmtId="0" fontId="0" fillId="12" borderId="0" xfId="0" applyFill="1" applyAlignment="1" applyProtection="1">
      <alignment vertical="center"/>
    </xf>
    <xf numFmtId="0" fontId="24" fillId="10" borderId="0" xfId="0" applyFont="1" applyFill="1" applyAlignment="1" applyProtection="1">
      <alignment vertical="center"/>
    </xf>
    <xf numFmtId="4" fontId="15" fillId="10" borderId="0" xfId="0" applyNumberFormat="1" applyFont="1" applyFill="1" applyAlignment="1" applyProtection="1"/>
    <xf numFmtId="0" fontId="12" fillId="10" borderId="0" xfId="0" applyFont="1" applyFill="1" applyBorder="1" applyAlignment="1" applyProtection="1">
      <alignment vertical="center"/>
    </xf>
    <xf numFmtId="0" fontId="0" fillId="6" borderId="0" xfId="0" applyFill="1" applyAlignment="1" applyProtection="1">
      <alignment vertical="center"/>
    </xf>
    <xf numFmtId="0" fontId="14" fillId="10" borderId="0" xfId="0" applyFont="1" applyFill="1" applyBorder="1" applyAlignment="1" applyProtection="1">
      <alignment vertical="top"/>
    </xf>
    <xf numFmtId="0" fontId="15" fillId="10" borderId="0" xfId="0" applyFont="1" applyFill="1" applyBorder="1" applyAlignment="1" applyProtection="1">
      <alignment vertical="center"/>
    </xf>
    <xf numFmtId="4" fontId="12" fillId="10" borderId="0" xfId="0" applyNumberFormat="1" applyFont="1" applyFill="1" applyBorder="1" applyAlignment="1" applyProtection="1">
      <alignment vertical="center" wrapText="1"/>
    </xf>
    <xf numFmtId="0" fontId="24" fillId="11" borderId="4" xfId="0" applyFont="1" applyFill="1" applyBorder="1" applyAlignment="1" applyProtection="1">
      <alignment vertical="center"/>
    </xf>
    <xf numFmtId="0" fontId="24" fillId="11" borderId="0" xfId="0" applyFont="1" applyFill="1" applyBorder="1" applyAlignment="1" applyProtection="1">
      <alignment vertical="center"/>
    </xf>
    <xf numFmtId="0" fontId="24" fillId="11" borderId="5" xfId="0" applyFont="1" applyFill="1" applyBorder="1" applyAlignment="1" applyProtection="1">
      <alignment vertical="center"/>
    </xf>
    <xf numFmtId="0" fontId="4" fillId="11" borderId="4" xfId="0" applyFont="1" applyFill="1" applyBorder="1" applyAlignment="1" applyProtection="1">
      <alignment vertical="center" wrapText="1"/>
    </xf>
    <xf numFmtId="0" fontId="4" fillId="11" borderId="0" xfId="0" applyFont="1" applyFill="1" applyBorder="1" applyAlignment="1" applyProtection="1">
      <alignment vertical="center" wrapText="1"/>
    </xf>
    <xf numFmtId="0" fontId="25" fillId="11" borderId="0" xfId="0" applyFont="1" applyFill="1" applyBorder="1" applyAlignment="1" applyProtection="1">
      <alignment vertical="center"/>
    </xf>
    <xf numFmtId="0" fontId="25" fillId="11" borderId="5" xfId="0" applyFont="1" applyFill="1" applyBorder="1" applyAlignment="1" applyProtection="1">
      <alignment vertical="center"/>
    </xf>
    <xf numFmtId="0" fontId="12" fillId="10" borderId="0" xfId="0" applyFont="1" applyFill="1" applyBorder="1" applyAlignment="1" applyProtection="1">
      <alignment vertical="top" wrapText="1"/>
    </xf>
    <xf numFmtId="0" fontId="0" fillId="10" borderId="0" xfId="0" applyFill="1" applyBorder="1" applyAlignment="1" applyProtection="1">
      <alignment vertical="center"/>
    </xf>
    <xf numFmtId="0" fontId="12" fillId="10" borderId="0" xfId="0" applyFont="1" applyFill="1" applyBorder="1" applyAlignment="1" applyProtection="1">
      <alignment wrapText="1"/>
    </xf>
    <xf numFmtId="0" fontId="25" fillId="11" borderId="4" xfId="0" applyFont="1" applyFill="1" applyBorder="1" applyAlignment="1" applyProtection="1">
      <alignment horizontal="left" vertical="center"/>
    </xf>
    <xf numFmtId="0" fontId="25" fillId="11" borderId="0" xfId="0" applyFont="1" applyFill="1" applyBorder="1" applyAlignment="1" applyProtection="1">
      <alignment horizontal="left" vertical="center"/>
    </xf>
    <xf numFmtId="0" fontId="25" fillId="11" borderId="5" xfId="0" applyFont="1" applyFill="1" applyBorder="1" applyAlignment="1" applyProtection="1">
      <alignment horizontal="left" vertical="center"/>
    </xf>
    <xf numFmtId="0" fontId="12" fillId="10" borderId="0" xfId="0" applyFont="1" applyFill="1" applyBorder="1" applyAlignment="1" applyProtection="1">
      <alignment horizontal="left" vertical="center"/>
    </xf>
    <xf numFmtId="0" fontId="24" fillId="11" borderId="6" xfId="0" applyFont="1" applyFill="1" applyBorder="1" applyAlignment="1" applyProtection="1">
      <alignment horizontal="center" vertical="center"/>
    </xf>
    <xf numFmtId="0" fontId="24" fillId="11" borderId="7" xfId="0" applyFont="1" applyFill="1" applyBorder="1" applyAlignment="1" applyProtection="1">
      <alignment horizontal="center" vertical="center"/>
    </xf>
    <xf numFmtId="0" fontId="24" fillId="11" borderId="8" xfId="0" applyFont="1" applyFill="1" applyBorder="1" applyAlignment="1" applyProtection="1">
      <alignment horizontal="center" vertical="center"/>
    </xf>
    <xf numFmtId="0" fontId="0" fillId="10" borderId="4" xfId="0" applyFill="1" applyBorder="1" applyAlignment="1" applyProtection="1">
      <alignment vertical="center"/>
    </xf>
    <xf numFmtId="0" fontId="14" fillId="10" borderId="0" xfId="0" applyFont="1" applyFill="1" applyBorder="1" applyAlignment="1" applyProtection="1">
      <alignment vertical="center"/>
    </xf>
    <xf numFmtId="0" fontId="0" fillId="12" borderId="4" xfId="0" applyFill="1" applyBorder="1" applyAlignment="1" applyProtection="1">
      <alignment vertical="center"/>
    </xf>
    <xf numFmtId="0" fontId="3" fillId="12" borderId="0" xfId="0" applyFont="1" applyFill="1" applyBorder="1" applyAlignment="1" applyProtection="1">
      <alignment vertical="center" textRotation="90"/>
    </xf>
    <xf numFmtId="0" fontId="9" fillId="12" borderId="0" xfId="0" applyFont="1" applyFill="1" applyBorder="1" applyAlignment="1" applyProtection="1">
      <alignment horizontal="center" vertical="center"/>
    </xf>
    <xf numFmtId="0" fontId="14" fillId="12" borderId="0" xfId="0" applyFont="1" applyFill="1" applyBorder="1" applyAlignment="1" applyProtection="1">
      <alignment vertical="center"/>
    </xf>
    <xf numFmtId="0" fontId="0" fillId="12" borderId="0" xfId="0" applyFill="1" applyBorder="1" applyAlignment="1" applyProtection="1">
      <alignment vertical="center"/>
    </xf>
    <xf numFmtId="0" fontId="0" fillId="12" borderId="5" xfId="0" applyFill="1" applyBorder="1" applyAlignment="1" applyProtection="1">
      <alignment vertical="center"/>
    </xf>
    <xf numFmtId="0" fontId="1" fillId="17" borderId="20" xfId="0" applyFont="1" applyFill="1" applyBorder="1" applyAlignment="1" applyProtection="1">
      <alignment horizontal="center" vertical="center" wrapText="1"/>
    </xf>
    <xf numFmtId="0" fontId="1" fillId="15" borderId="20" xfId="0" applyFont="1" applyFill="1" applyBorder="1" applyAlignment="1" applyProtection="1">
      <alignment horizontal="center" vertical="center" wrapText="1"/>
    </xf>
    <xf numFmtId="0" fontId="16" fillId="12" borderId="0" xfId="0" applyFont="1" applyFill="1" applyBorder="1" applyAlignment="1" applyProtection="1">
      <alignment vertical="center"/>
    </xf>
    <xf numFmtId="0" fontId="4" fillId="2" borderId="20" xfId="0" applyFont="1" applyFill="1" applyBorder="1" applyAlignment="1" applyProtection="1">
      <alignment horizontal="center" vertical="center" wrapText="1"/>
    </xf>
    <xf numFmtId="0" fontId="26" fillId="23" borderId="2" xfId="0" applyFont="1" applyFill="1" applyBorder="1" applyAlignment="1" applyProtection="1">
      <alignment horizontal="center" vertical="center"/>
    </xf>
    <xf numFmtId="0" fontId="26" fillId="23" borderId="2" xfId="0" applyFont="1" applyFill="1" applyBorder="1" applyAlignment="1" applyProtection="1">
      <alignment horizontal="left" vertical="center"/>
    </xf>
    <xf numFmtId="0" fontId="26" fillId="23" borderId="3" xfId="0" applyFont="1" applyFill="1" applyBorder="1" applyAlignment="1" applyProtection="1">
      <alignment horizontal="center" vertical="center"/>
    </xf>
    <xf numFmtId="0" fontId="1" fillId="5" borderId="0" xfId="0" applyFont="1" applyFill="1" applyBorder="1" applyAlignment="1" applyProtection="1">
      <alignment horizontal="center" vertical="center" wrapText="1"/>
    </xf>
    <xf numFmtId="0" fontId="3" fillId="13" borderId="29" xfId="0" applyFont="1" applyFill="1" applyBorder="1" applyAlignment="1" applyProtection="1">
      <alignment horizontal="center" vertical="center" textRotation="90"/>
    </xf>
    <xf numFmtId="0" fontId="16" fillId="17" borderId="0" xfId="0" applyFont="1" applyFill="1" applyBorder="1" applyAlignment="1" applyProtection="1">
      <alignment vertical="center"/>
    </xf>
    <xf numFmtId="0" fontId="16" fillId="15" borderId="0" xfId="0" applyFont="1" applyFill="1" applyBorder="1" applyAlignment="1" applyProtection="1">
      <alignment vertical="center"/>
    </xf>
    <xf numFmtId="4" fontId="10" fillId="2" borderId="0" xfId="0" applyNumberFormat="1" applyFont="1" applyFill="1" applyBorder="1" applyAlignment="1" applyProtection="1">
      <alignment horizontal="center" vertical="center"/>
    </xf>
    <xf numFmtId="4" fontId="10" fillId="15" borderId="0" xfId="0" applyNumberFormat="1" applyFont="1" applyFill="1" applyBorder="1" applyAlignment="1" applyProtection="1">
      <alignment horizontal="center" vertical="center"/>
    </xf>
    <xf numFmtId="4" fontId="10" fillId="7" borderId="0" xfId="0" applyNumberFormat="1" applyFont="1" applyFill="1" applyBorder="1" applyAlignment="1" applyProtection="1">
      <alignment vertical="center"/>
    </xf>
    <xf numFmtId="3" fontId="1" fillId="0" borderId="23" xfId="0" applyNumberFormat="1" applyFont="1" applyFill="1" applyBorder="1" applyAlignment="1" applyProtection="1">
      <alignment horizontal="center" vertical="center"/>
    </xf>
    <xf numFmtId="4" fontId="10" fillId="15" borderId="0" xfId="0" applyNumberFormat="1" applyFont="1" applyFill="1" applyBorder="1" applyAlignment="1" applyProtection="1">
      <alignment horizontal="left" vertical="center" wrapText="1"/>
    </xf>
    <xf numFmtId="4" fontId="10" fillId="15" borderId="0" xfId="0" applyNumberFormat="1" applyFont="1" applyFill="1" applyBorder="1" applyAlignment="1" applyProtection="1">
      <alignment vertical="center"/>
    </xf>
    <xf numFmtId="0" fontId="0" fillId="6" borderId="0" xfId="0" applyFill="1" applyBorder="1" applyAlignment="1" applyProtection="1">
      <alignment vertical="center"/>
    </xf>
    <xf numFmtId="0" fontId="3" fillId="13" borderId="31" xfId="0" applyFont="1" applyFill="1" applyBorder="1" applyAlignment="1" applyProtection="1">
      <alignment horizontal="center" vertical="center" textRotation="90"/>
    </xf>
    <xf numFmtId="4" fontId="10" fillId="17" borderId="0" xfId="0" applyNumberFormat="1" applyFont="1" applyFill="1" applyBorder="1" applyAlignment="1" applyProtection="1">
      <alignment horizontal="left" vertical="center"/>
    </xf>
    <xf numFmtId="0" fontId="1" fillId="12" borderId="0" xfId="0" applyFont="1" applyFill="1" applyBorder="1" applyAlignment="1" applyProtection="1">
      <alignment vertical="center"/>
    </xf>
    <xf numFmtId="4" fontId="10" fillId="2" borderId="0" xfId="0" applyNumberFormat="1" applyFont="1" applyFill="1" applyBorder="1" applyAlignment="1" applyProtection="1">
      <alignment horizontal="left" vertical="center"/>
    </xf>
    <xf numFmtId="4" fontId="10" fillId="15" borderId="0" xfId="0" applyNumberFormat="1" applyFont="1" applyFill="1" applyBorder="1" applyAlignment="1" applyProtection="1">
      <alignment horizontal="left" vertical="center"/>
    </xf>
    <xf numFmtId="4" fontId="10" fillId="7" borderId="0" xfId="0" applyNumberFormat="1" applyFont="1" applyFill="1" applyBorder="1" applyAlignment="1" applyProtection="1">
      <alignment horizontal="left" vertical="center"/>
    </xf>
    <xf numFmtId="0" fontId="1" fillId="6" borderId="0" xfId="0" applyFont="1" applyFill="1" applyBorder="1" applyAlignment="1" applyProtection="1">
      <alignment vertical="center"/>
    </xf>
    <xf numFmtId="0" fontId="3" fillId="13" borderId="32" xfId="0" applyFont="1" applyFill="1" applyBorder="1" applyAlignment="1" applyProtection="1">
      <alignment horizontal="center" vertical="center" textRotation="90"/>
    </xf>
    <xf numFmtId="0" fontId="9" fillId="5" borderId="0" xfId="0" applyFont="1" applyFill="1" applyBorder="1" applyAlignment="1" applyProtection="1">
      <alignment vertical="center"/>
    </xf>
    <xf numFmtId="0" fontId="0" fillId="5" borderId="0" xfId="0" applyFont="1" applyFill="1" applyBorder="1" applyAlignment="1" applyProtection="1">
      <alignment vertical="center"/>
    </xf>
    <xf numFmtId="3" fontId="9" fillId="0" borderId="23" xfId="0" applyNumberFormat="1" applyFont="1" applyFill="1" applyBorder="1" applyAlignment="1" applyProtection="1">
      <alignment horizontal="center" vertical="center"/>
    </xf>
    <xf numFmtId="0" fontId="3" fillId="13" borderId="0" xfId="0" applyFont="1" applyFill="1" applyBorder="1" applyAlignment="1" applyProtection="1">
      <alignment horizontal="center" vertical="center" textRotation="90"/>
    </xf>
    <xf numFmtId="4" fontId="10" fillId="17" borderId="0" xfId="0" applyNumberFormat="1" applyFont="1" applyFill="1" applyBorder="1" applyAlignment="1" applyProtection="1">
      <alignment vertical="center"/>
    </xf>
    <xf numFmtId="0" fontId="0" fillId="6" borderId="0" xfId="0" applyFont="1" applyFill="1" applyBorder="1" applyAlignment="1" applyProtection="1">
      <alignment vertical="center"/>
    </xf>
    <xf numFmtId="0" fontId="0" fillId="5" borderId="0" xfId="0" applyFill="1" applyBorder="1" applyAlignment="1" applyProtection="1">
      <alignment vertical="center"/>
    </xf>
    <xf numFmtId="0" fontId="26" fillId="18" borderId="2" xfId="0" applyFont="1" applyFill="1" applyBorder="1" applyAlignment="1" applyProtection="1">
      <alignment horizontal="center" vertical="center"/>
    </xf>
    <xf numFmtId="0" fontId="26" fillId="18" borderId="2" xfId="0" applyFont="1" applyFill="1" applyBorder="1" applyAlignment="1" applyProtection="1">
      <alignment horizontal="left" vertical="center"/>
    </xf>
    <xf numFmtId="0" fontId="26" fillId="18" borderId="3" xfId="0" applyFont="1" applyFill="1" applyBorder="1" applyAlignment="1" applyProtection="1">
      <alignment horizontal="center" vertical="center"/>
    </xf>
    <xf numFmtId="0" fontId="1" fillId="10" borderId="0" xfId="0" applyFont="1" applyFill="1" applyBorder="1" applyAlignment="1" applyProtection="1">
      <alignment horizontal="center" vertical="center" wrapText="1"/>
    </xf>
    <xf numFmtId="0" fontId="9" fillId="10" borderId="0" xfId="0" applyFont="1" applyFill="1" applyBorder="1" applyAlignment="1" applyProtection="1">
      <alignment horizontal="center" vertical="center"/>
    </xf>
    <xf numFmtId="0" fontId="16" fillId="10" borderId="0" xfId="0" applyFont="1" applyFill="1" applyBorder="1" applyAlignment="1" applyProtection="1">
      <alignment vertical="center"/>
    </xf>
    <xf numFmtId="3" fontId="1" fillId="0" borderId="0" xfId="0" applyNumberFormat="1" applyFont="1" applyFill="1" applyBorder="1" applyAlignment="1" applyProtection="1">
      <alignment horizontal="center" vertical="center"/>
    </xf>
    <xf numFmtId="4" fontId="10" fillId="10" borderId="0" xfId="0" applyNumberFormat="1" applyFont="1" applyFill="1" applyBorder="1" applyAlignment="1" applyProtection="1">
      <alignment horizontal="left" vertical="center" wrapText="1"/>
    </xf>
    <xf numFmtId="4" fontId="10" fillId="10" borderId="0" xfId="0" applyNumberFormat="1" applyFont="1" applyFill="1" applyBorder="1" applyAlignment="1" applyProtection="1">
      <alignment horizontal="left" vertical="center"/>
    </xf>
    <xf numFmtId="4" fontId="10" fillId="10" borderId="0" xfId="0" applyNumberFormat="1" applyFont="1" applyFill="1" applyBorder="1" applyAlignment="1" applyProtection="1">
      <alignment vertical="center"/>
    </xf>
    <xf numFmtId="0" fontId="0" fillId="12" borderId="6" xfId="0" applyFill="1" applyBorder="1" applyAlignment="1" applyProtection="1">
      <alignment vertical="center"/>
    </xf>
    <xf numFmtId="0" fontId="9" fillId="10" borderId="7" xfId="0" applyFont="1" applyFill="1" applyBorder="1" applyAlignment="1" applyProtection="1">
      <alignment horizontal="left" vertical="center"/>
    </xf>
    <xf numFmtId="0" fontId="1" fillId="10" borderId="7" xfId="0" applyFont="1" applyFill="1" applyBorder="1" applyAlignment="1" applyProtection="1">
      <alignment horizontal="center" vertical="center" wrapText="1"/>
    </xf>
    <xf numFmtId="0" fontId="9" fillId="10" borderId="7" xfId="0" applyFont="1" applyFill="1" applyBorder="1" applyAlignment="1" applyProtection="1">
      <alignment horizontal="center" vertical="center"/>
    </xf>
    <xf numFmtId="0" fontId="3" fillId="13" borderId="39" xfId="0" applyFont="1" applyFill="1" applyBorder="1" applyAlignment="1" applyProtection="1">
      <alignment horizontal="center" vertical="center" textRotation="90"/>
    </xf>
    <xf numFmtId="0" fontId="9" fillId="12" borderId="7" xfId="0" applyFont="1" applyFill="1" applyBorder="1" applyAlignment="1" applyProtection="1">
      <alignment horizontal="center" vertical="center"/>
    </xf>
    <xf numFmtId="4" fontId="10" fillId="17" borderId="7" xfId="0" applyNumberFormat="1" applyFont="1" applyFill="1" applyBorder="1" applyAlignment="1" applyProtection="1">
      <alignment horizontal="left" vertical="center"/>
    </xf>
    <xf numFmtId="4" fontId="10" fillId="15" borderId="7" xfId="0" applyNumberFormat="1" applyFont="1" applyFill="1" applyBorder="1" applyAlignment="1" applyProtection="1">
      <alignment horizontal="left" vertical="center" wrapText="1"/>
    </xf>
    <xf numFmtId="4" fontId="10" fillId="15" borderId="7" xfId="0" applyNumberFormat="1" applyFont="1" applyFill="1" applyBorder="1" applyAlignment="1" applyProtection="1">
      <alignment horizontal="left" vertical="center"/>
    </xf>
    <xf numFmtId="0" fontId="3" fillId="10" borderId="7" xfId="0" applyFont="1" applyFill="1" applyBorder="1" applyAlignment="1" applyProtection="1">
      <alignment horizontal="center" vertical="center" textRotation="90"/>
    </xf>
    <xf numFmtId="4" fontId="10" fillId="2" borderId="7" xfId="0" applyNumberFormat="1" applyFont="1" applyFill="1" applyBorder="1" applyAlignment="1" applyProtection="1">
      <alignment horizontal="left" vertical="center"/>
    </xf>
    <xf numFmtId="0" fontId="0" fillId="10" borderId="7" xfId="0" applyFill="1" applyBorder="1" applyAlignment="1" applyProtection="1">
      <alignment vertical="center"/>
    </xf>
    <xf numFmtId="4" fontId="10" fillId="15" borderId="7" xfId="0" applyNumberFormat="1" applyFont="1" applyFill="1" applyBorder="1" applyAlignment="1" applyProtection="1">
      <alignment vertical="center"/>
    </xf>
    <xf numFmtId="4" fontId="10" fillId="7" borderId="7" xfId="0" applyNumberFormat="1" applyFont="1" applyFill="1" applyBorder="1" applyAlignment="1" applyProtection="1">
      <alignment vertical="center"/>
    </xf>
    <xf numFmtId="0" fontId="2" fillId="12" borderId="0" xfId="0" applyFont="1" applyFill="1" applyAlignment="1" applyProtection="1">
      <alignment vertical="center"/>
    </xf>
    <xf numFmtId="0" fontId="1" fillId="0" borderId="41" xfId="0" applyFont="1" applyBorder="1" applyAlignment="1">
      <alignment horizontal="left"/>
    </xf>
    <xf numFmtId="2" fontId="0" fillId="0" borderId="20" xfId="0" applyNumberFormat="1" applyBorder="1" applyAlignment="1">
      <alignment horizontal="center"/>
    </xf>
    <xf numFmtId="0" fontId="0" fillId="0" borderId="35" xfId="0" applyBorder="1" applyAlignment="1">
      <alignment horizontal="center"/>
    </xf>
    <xf numFmtId="0" fontId="1" fillId="0" borderId="6" xfId="0" applyFont="1" applyBorder="1"/>
    <xf numFmtId="0" fontId="1" fillId="0" borderId="8" xfId="0" applyFont="1" applyBorder="1" applyAlignment="1">
      <alignment horizontal="center"/>
    </xf>
    <xf numFmtId="0" fontId="45" fillId="0" borderId="0" xfId="0" applyFont="1" applyAlignment="1">
      <alignment vertical="center"/>
    </xf>
    <xf numFmtId="0" fontId="45" fillId="0" borderId="0" xfId="0" applyFont="1" applyAlignment="1"/>
    <xf numFmtId="0" fontId="51" fillId="10" borderId="0" xfId="0" applyFont="1" applyFill="1" applyBorder="1" applyAlignment="1" applyProtection="1">
      <alignment horizontal="center" vertical="center"/>
    </xf>
    <xf numFmtId="0" fontId="1" fillId="14" borderId="24" xfId="0" applyFont="1" applyFill="1" applyBorder="1"/>
    <xf numFmtId="0" fontId="0" fillId="0" borderId="9" xfId="0" applyBorder="1" applyAlignment="1">
      <alignment vertical="center" wrapText="1"/>
    </xf>
    <xf numFmtId="0" fontId="0" fillId="0" borderId="9" xfId="0" applyBorder="1" applyAlignment="1">
      <alignment wrapText="1"/>
    </xf>
    <xf numFmtId="0" fontId="1" fillId="28" borderId="9" xfId="0" applyFont="1" applyFill="1" applyBorder="1" applyAlignment="1">
      <alignment vertical="center" wrapText="1"/>
    </xf>
    <xf numFmtId="4" fontId="52" fillId="28" borderId="9" xfId="0" applyNumberFormat="1" applyFont="1" applyFill="1" applyBorder="1" applyAlignment="1">
      <alignment horizontal="center" vertical="center"/>
    </xf>
    <xf numFmtId="0" fontId="0" fillId="0" borderId="9" xfId="0" applyBorder="1" applyAlignment="1">
      <alignment horizontal="center" vertical="center"/>
    </xf>
    <xf numFmtId="2" fontId="0" fillId="0" borderId="9" xfId="0" applyNumberFormat="1" applyBorder="1" applyAlignment="1">
      <alignment horizontal="center" vertical="center"/>
    </xf>
    <xf numFmtId="0" fontId="0" fillId="0" borderId="9" xfId="0" applyBorder="1"/>
    <xf numFmtId="0" fontId="37" fillId="0" borderId="9" xfId="0" applyFont="1" applyBorder="1" applyAlignment="1">
      <alignment vertical="center" wrapText="1"/>
    </xf>
    <xf numFmtId="0" fontId="54" fillId="0" borderId="9" xfId="4" applyFont="1" applyBorder="1" applyAlignment="1">
      <alignment vertical="center" wrapText="1"/>
    </xf>
    <xf numFmtId="165" fontId="0" fillId="0" borderId="9" xfId="0" applyNumberFormat="1" applyBorder="1" applyAlignment="1">
      <alignment horizontal="center" vertical="center"/>
    </xf>
    <xf numFmtId="165" fontId="0" fillId="0" borderId="9" xfId="0" applyNumberFormat="1" applyBorder="1" applyAlignment="1">
      <alignment horizontal="center"/>
    </xf>
    <xf numFmtId="0" fontId="54" fillId="0" borderId="9" xfId="4" applyFont="1" applyFill="1" applyBorder="1" applyAlignment="1">
      <alignment vertical="center" wrapText="1"/>
    </xf>
    <xf numFmtId="0" fontId="0" fillId="0" borderId="9" xfId="0" applyBorder="1" applyAlignment="1">
      <alignment horizontal="left" vertical="center" wrapText="1"/>
    </xf>
    <xf numFmtId="2" fontId="0" fillId="0" borderId="9" xfId="0" applyNumberFormat="1" applyBorder="1" applyAlignment="1">
      <alignment horizontal="center"/>
    </xf>
    <xf numFmtId="0" fontId="37" fillId="0" borderId="0" xfId="0" applyFont="1" applyAlignment="1">
      <alignment vertical="center" wrapText="1"/>
    </xf>
    <xf numFmtId="164" fontId="0" fillId="0" borderId="0" xfId="0" applyNumberFormat="1" applyFill="1" applyBorder="1"/>
    <xf numFmtId="165" fontId="0" fillId="0" borderId="22" xfId="0" applyNumberFormat="1" applyFill="1" applyBorder="1"/>
    <xf numFmtId="165" fontId="0" fillId="0" borderId="16" xfId="0" applyNumberFormat="1" applyFill="1" applyBorder="1"/>
    <xf numFmtId="165" fontId="0" fillId="0" borderId="0" xfId="0" applyNumberFormat="1" applyFill="1" applyBorder="1"/>
    <xf numFmtId="169" fontId="0" fillId="0" borderId="22" xfId="0" applyNumberFormat="1" applyFill="1" applyBorder="1"/>
    <xf numFmtId="169" fontId="0" fillId="0" borderId="0" xfId="0" applyNumberFormat="1" applyFill="1" applyBorder="1"/>
    <xf numFmtId="0" fontId="9" fillId="15" borderId="24" xfId="0" applyFont="1" applyFill="1" applyBorder="1" applyAlignment="1" applyProtection="1">
      <alignment horizontal="left" vertical="center"/>
    </xf>
    <xf numFmtId="4" fontId="9" fillId="15" borderId="19" xfId="0" applyNumberFormat="1" applyFont="1" applyFill="1" applyBorder="1" applyAlignment="1" applyProtection="1">
      <alignment vertical="center" wrapText="1"/>
    </xf>
    <xf numFmtId="0" fontId="0" fillId="0" borderId="0" xfId="0" applyFill="1" applyAlignment="1" applyProtection="1">
      <alignment vertical="center"/>
    </xf>
    <xf numFmtId="3" fontId="12" fillId="15" borderId="0" xfId="0" applyNumberFormat="1" applyFont="1" applyFill="1" applyBorder="1" applyAlignment="1" applyProtection="1">
      <alignment horizontal="left" vertical="center"/>
    </xf>
    <xf numFmtId="3" fontId="56" fillId="15" borderId="0" xfId="0" applyNumberFormat="1" applyFont="1" applyFill="1" applyBorder="1" applyAlignment="1" applyProtection="1">
      <alignment horizontal="left" vertical="center"/>
    </xf>
    <xf numFmtId="3" fontId="12" fillId="15" borderId="17" xfId="0" applyNumberFormat="1" applyFont="1" applyFill="1" applyBorder="1" applyAlignment="1" applyProtection="1">
      <alignment horizontal="left" vertical="center"/>
    </xf>
    <xf numFmtId="3" fontId="0" fillId="15" borderId="21" xfId="0" applyNumberFormat="1" applyFont="1" applyFill="1" applyBorder="1" applyAlignment="1" applyProtection="1">
      <alignment horizontal="left" vertical="center"/>
    </xf>
    <xf numFmtId="0" fontId="9" fillId="5" borderId="0" xfId="0" applyFont="1" applyFill="1" applyBorder="1" applyAlignment="1" applyProtection="1">
      <alignment horizontal="left" vertical="center"/>
    </xf>
    <xf numFmtId="0" fontId="6" fillId="5" borderId="18" xfId="0" applyFont="1" applyFill="1" applyBorder="1" applyAlignment="1" applyProtection="1">
      <alignment horizontal="center" vertical="center" textRotation="90"/>
    </xf>
    <xf numFmtId="0" fontId="9" fillId="10" borderId="0" xfId="0" applyFont="1" applyFill="1" applyBorder="1" applyAlignment="1" applyProtection="1">
      <alignment horizontal="left" vertical="center"/>
    </xf>
    <xf numFmtId="0" fontId="12" fillId="2" borderId="14" xfId="0" applyFont="1" applyFill="1" applyBorder="1" applyAlignment="1">
      <alignment horizontal="center" vertical="center"/>
    </xf>
    <xf numFmtId="0" fontId="1" fillId="0" borderId="2" xfId="0" applyFont="1" applyBorder="1" applyAlignment="1">
      <alignment horizontal="center"/>
    </xf>
    <xf numFmtId="0" fontId="7" fillId="0" borderId="22" xfId="0" applyFont="1" applyBorder="1" applyAlignment="1">
      <alignment horizontal="center"/>
    </xf>
    <xf numFmtId="0" fontId="0" fillId="0" borderId="0" xfId="0" applyFill="1" applyProtection="1"/>
    <xf numFmtId="0" fontId="0" fillId="0" borderId="0" xfId="0" applyProtection="1"/>
    <xf numFmtId="0" fontId="0" fillId="21" borderId="0" xfId="0" applyFill="1"/>
    <xf numFmtId="0" fontId="0" fillId="0" borderId="0" xfId="0" quotePrefix="1"/>
    <xf numFmtId="0" fontId="57" fillId="0" borderId="0" xfId="0" applyFont="1" applyAlignment="1">
      <alignment vertical="center"/>
    </xf>
    <xf numFmtId="0" fontId="18" fillId="0" borderId="0" xfId="0" quotePrefix="1" applyFont="1"/>
    <xf numFmtId="3" fontId="0" fillId="8" borderId="30" xfId="0" applyNumberFormat="1" applyFont="1" applyFill="1" applyBorder="1" applyAlignment="1" applyProtection="1">
      <alignment horizontal="left" vertical="center"/>
      <protection locked="0"/>
    </xf>
    <xf numFmtId="0" fontId="0" fillId="12" borderId="1" xfId="0" applyFill="1" applyBorder="1" applyAlignment="1" applyProtection="1">
      <alignment vertical="center"/>
    </xf>
    <xf numFmtId="0" fontId="6" fillId="5" borderId="42" xfId="0" applyFont="1" applyFill="1" applyBorder="1" applyAlignment="1" applyProtection="1">
      <alignment horizontal="center" vertical="center" textRotation="90"/>
    </xf>
    <xf numFmtId="0" fontId="9" fillId="12" borderId="2" xfId="0" applyFont="1" applyFill="1" applyBorder="1" applyAlignment="1" applyProtection="1">
      <alignment horizontal="center" vertical="center"/>
    </xf>
    <xf numFmtId="0" fontId="47" fillId="17" borderId="2" xfId="0" applyFont="1" applyFill="1" applyBorder="1" applyAlignment="1" applyProtection="1">
      <alignment horizontal="center" vertical="center" wrapText="1"/>
    </xf>
    <xf numFmtId="0" fontId="7" fillId="12" borderId="2" xfId="0" applyFont="1" applyFill="1" applyBorder="1" applyAlignment="1" applyProtection="1">
      <alignment vertical="center"/>
    </xf>
    <xf numFmtId="0" fontId="4" fillId="2" borderId="2" xfId="0" applyFont="1" applyFill="1" applyBorder="1" applyAlignment="1" applyProtection="1">
      <alignment horizontal="center" vertical="center" wrapText="1"/>
    </xf>
    <xf numFmtId="0" fontId="0" fillId="12" borderId="2" xfId="0" applyFill="1" applyBorder="1" applyAlignment="1" applyProtection="1">
      <alignment vertical="center"/>
    </xf>
    <xf numFmtId="0" fontId="0" fillId="12" borderId="3" xfId="0" applyFill="1" applyBorder="1" applyAlignment="1" applyProtection="1">
      <alignment vertical="center"/>
    </xf>
    <xf numFmtId="0" fontId="0" fillId="6" borderId="5" xfId="0" applyFill="1" applyBorder="1" applyAlignment="1" applyProtection="1">
      <alignment vertical="center"/>
    </xf>
    <xf numFmtId="0" fontId="0" fillId="6" borderId="8" xfId="0" applyFill="1" applyBorder="1" applyAlignment="1" applyProtection="1">
      <alignment vertical="center"/>
    </xf>
    <xf numFmtId="0" fontId="0" fillId="12" borderId="20" xfId="0" applyFill="1" applyBorder="1" applyAlignment="1" applyProtection="1">
      <alignment vertical="center"/>
    </xf>
    <xf numFmtId="0" fontId="0" fillId="12" borderId="35" xfId="0" applyFill="1" applyBorder="1" applyAlignment="1" applyProtection="1">
      <alignment vertical="center"/>
    </xf>
    <xf numFmtId="0" fontId="0" fillId="0" borderId="0" xfId="0" applyAlignment="1">
      <alignment horizontal="left" vertical="top" wrapText="1"/>
    </xf>
    <xf numFmtId="0" fontId="0" fillId="0" borderId="0" xfId="0" applyAlignment="1">
      <alignment wrapText="1"/>
    </xf>
    <xf numFmtId="0" fontId="0" fillId="29" borderId="0" xfId="0" applyFill="1" applyBorder="1" applyAlignment="1" applyProtection="1">
      <alignment vertical="center"/>
    </xf>
    <xf numFmtId="0" fontId="4" fillId="29" borderId="0" xfId="0" applyFont="1" applyFill="1" applyBorder="1" applyAlignment="1" applyProtection="1">
      <alignment horizontal="center" vertical="center" wrapText="1"/>
    </xf>
    <xf numFmtId="0" fontId="4" fillId="29" borderId="7" xfId="0" applyFont="1" applyFill="1" applyBorder="1" applyAlignment="1" applyProtection="1">
      <alignment horizontal="center" vertical="center" wrapText="1"/>
    </xf>
    <xf numFmtId="0" fontId="0" fillId="0" borderId="0" xfId="0" applyFill="1" applyBorder="1" applyAlignment="1" applyProtection="1">
      <alignment vertical="center"/>
      <protection locked="0"/>
    </xf>
    <xf numFmtId="1" fontId="1" fillId="0" borderId="23" xfId="0" applyNumberFormat="1" applyFont="1" applyFill="1" applyBorder="1" applyAlignment="1" applyProtection="1">
      <alignment horizontal="center" vertical="center"/>
      <protection locked="0"/>
    </xf>
    <xf numFmtId="1" fontId="1" fillId="0" borderId="0" xfId="0" applyNumberFormat="1" applyFont="1" applyFill="1" applyBorder="1" applyAlignment="1" applyProtection="1">
      <alignment horizontal="center" vertical="center"/>
      <protection locked="0"/>
    </xf>
    <xf numFmtId="1" fontId="9" fillId="15" borderId="23" xfId="0" applyNumberFormat="1" applyFont="1" applyFill="1" applyBorder="1" applyAlignment="1" applyProtection="1">
      <alignment horizontal="center" vertical="center"/>
      <protection hidden="1"/>
    </xf>
    <xf numFmtId="4" fontId="21" fillId="19" borderId="13" xfId="0" applyNumberFormat="1" applyFont="1" applyFill="1" applyBorder="1" applyAlignment="1" applyProtection="1"/>
    <xf numFmtId="4" fontId="15" fillId="10" borderId="14" xfId="0" applyNumberFormat="1" applyFont="1" applyFill="1" applyBorder="1" applyAlignment="1" applyProtection="1"/>
    <xf numFmtId="0" fontId="14" fillId="10" borderId="14" xfId="0" applyFont="1" applyFill="1" applyBorder="1" applyAlignment="1" applyProtection="1">
      <alignment vertical="top"/>
    </xf>
    <xf numFmtId="4" fontId="12" fillId="10" borderId="14" xfId="0" applyNumberFormat="1" applyFont="1" applyFill="1" applyBorder="1" applyAlignment="1" applyProtection="1">
      <alignment vertical="center" wrapText="1"/>
    </xf>
    <xf numFmtId="0" fontId="15" fillId="10" borderId="14" xfId="0" applyFont="1" applyFill="1" applyBorder="1" applyAlignment="1" applyProtection="1">
      <alignment vertical="center"/>
    </xf>
    <xf numFmtId="0" fontId="0" fillId="10" borderId="14" xfId="0" applyFill="1" applyBorder="1" applyAlignment="1" applyProtection="1">
      <alignment vertical="center"/>
    </xf>
    <xf numFmtId="0" fontId="24" fillId="10" borderId="14" xfId="0" applyFont="1" applyFill="1" applyBorder="1" applyAlignment="1" applyProtection="1">
      <alignment vertical="center"/>
    </xf>
    <xf numFmtId="0" fontId="14" fillId="10" borderId="15" xfId="0" applyFont="1" applyFill="1" applyBorder="1" applyAlignment="1" applyProtection="1">
      <alignment vertical="top"/>
    </xf>
    <xf numFmtId="0" fontId="47" fillId="0" borderId="4" xfId="0" applyFont="1" applyBorder="1" applyAlignment="1">
      <alignment horizontal="left"/>
    </xf>
    <xf numFmtId="0" fontId="47" fillId="0" borderId="6" xfId="0" applyFont="1" applyBorder="1" applyAlignment="1">
      <alignment horizontal="left"/>
    </xf>
    <xf numFmtId="165" fontId="0" fillId="0" borderId="7" xfId="0" applyNumberFormat="1" applyBorder="1" applyAlignment="1">
      <alignment horizont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horizontal="left" vertical="center"/>
    </xf>
    <xf numFmtId="0" fontId="66" fillId="0" borderId="0" xfId="0" applyFont="1" applyAlignment="1">
      <alignment horizontal="justify" vertical="center"/>
    </xf>
    <xf numFmtId="0" fontId="4" fillId="11" borderId="4" xfId="0" applyFont="1" applyFill="1" applyBorder="1" applyAlignment="1" applyProtection="1">
      <alignment horizontal="left" vertical="center" wrapText="1"/>
    </xf>
    <xf numFmtId="0" fontId="0" fillId="0" borderId="0" xfId="0" applyBorder="1" applyAlignment="1" applyProtection="1">
      <alignment horizontal="left" vertical="center" wrapText="1"/>
    </xf>
    <xf numFmtId="1" fontId="1" fillId="8" borderId="30" xfId="0" applyNumberFormat="1" applyFont="1" applyFill="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1" fontId="0" fillId="0" borderId="40" xfId="0" applyNumberFormat="1" applyFont="1" applyBorder="1" applyAlignment="1" applyProtection="1">
      <alignment horizontal="center" vertical="center"/>
      <protection locked="0"/>
    </xf>
    <xf numFmtId="0" fontId="47" fillId="21" borderId="1" xfId="0" quotePrefix="1" applyFont="1" applyFill="1" applyBorder="1" applyAlignment="1" applyProtection="1">
      <alignment horizontal="left" vertical="center" wrapText="1"/>
    </xf>
    <xf numFmtId="0" fontId="47" fillId="21" borderId="2" xfId="0" applyFont="1" applyFill="1" applyBorder="1" applyAlignment="1" applyProtection="1">
      <alignment horizontal="left" vertical="center" wrapText="1"/>
    </xf>
    <xf numFmtId="0" fontId="47" fillId="21" borderId="3" xfId="0" applyFont="1" applyFill="1" applyBorder="1" applyAlignment="1" applyProtection="1">
      <alignment horizontal="left" vertical="center" wrapText="1"/>
    </xf>
    <xf numFmtId="0" fontId="47" fillId="21" borderId="4" xfId="0" applyFont="1" applyFill="1" applyBorder="1" applyAlignment="1" applyProtection="1">
      <alignment horizontal="left" vertical="center" wrapText="1"/>
    </xf>
    <xf numFmtId="0" fontId="47" fillId="21" borderId="0" xfId="0" applyFont="1" applyFill="1" applyBorder="1" applyAlignment="1" applyProtection="1">
      <alignment horizontal="left" vertical="center" wrapText="1"/>
    </xf>
    <xf numFmtId="0" fontId="47" fillId="21" borderId="5" xfId="0" applyFont="1" applyFill="1" applyBorder="1" applyAlignment="1" applyProtection="1">
      <alignment horizontal="left" vertical="center" wrapText="1"/>
    </xf>
    <xf numFmtId="3" fontId="1" fillId="8" borderId="30" xfId="0" applyNumberFormat="1" applyFont="1" applyFill="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55" fillId="10" borderId="0" xfId="0" applyFont="1" applyFill="1" applyBorder="1" applyAlignment="1" applyProtection="1">
      <alignment horizontal="left" vertical="center"/>
    </xf>
    <xf numFmtId="0" fontId="16" fillId="0" borderId="0" xfId="0" applyFont="1" applyAlignment="1" applyProtection="1">
      <alignment vertical="center"/>
    </xf>
    <xf numFmtId="0" fontId="1" fillId="11" borderId="4" xfId="0" applyFont="1" applyFill="1" applyBorder="1" applyAlignment="1" applyProtection="1">
      <alignment horizontal="left" vertical="center" wrapText="1"/>
    </xf>
    <xf numFmtId="0" fontId="0" fillId="0" borderId="0" xfId="0" applyFont="1" applyBorder="1" applyAlignment="1" applyProtection="1">
      <alignment horizontal="left" vertical="center" wrapText="1"/>
    </xf>
    <xf numFmtId="0" fontId="4" fillId="29" borderId="2" xfId="0" applyFont="1" applyFill="1" applyBorder="1" applyAlignment="1" applyProtection="1">
      <alignment horizontal="center" vertical="center" wrapText="1"/>
    </xf>
    <xf numFmtId="0" fontId="4" fillId="29" borderId="20" xfId="0" applyFont="1" applyFill="1" applyBorder="1" applyAlignment="1" applyProtection="1">
      <alignment horizontal="center" vertical="center" wrapText="1"/>
    </xf>
    <xf numFmtId="0" fontId="4" fillId="15" borderId="2" xfId="0" applyFont="1" applyFill="1" applyBorder="1" applyAlignment="1" applyProtection="1">
      <alignment horizontal="center" vertical="center" wrapText="1"/>
    </xf>
    <xf numFmtId="0" fontId="4" fillId="5" borderId="43"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0" fontId="9" fillId="5" borderId="0" xfId="0" applyFont="1" applyFill="1" applyBorder="1" applyAlignment="1" applyProtection="1">
      <alignment horizontal="left" vertical="center"/>
    </xf>
    <xf numFmtId="0" fontId="9" fillId="15" borderId="2" xfId="0" applyFont="1" applyFill="1" applyBorder="1" applyAlignment="1" applyProtection="1">
      <alignment horizontal="center" vertical="center" wrapText="1"/>
    </xf>
    <xf numFmtId="0" fontId="9" fillId="15" borderId="7"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wrapText="1"/>
    </xf>
    <xf numFmtId="0" fontId="9" fillId="5" borderId="20" xfId="0" applyFont="1" applyFill="1" applyBorder="1" applyAlignment="1" applyProtection="1">
      <alignment horizontal="center" vertical="center" wrapText="1"/>
    </xf>
    <xf numFmtId="0" fontId="6" fillId="13" borderId="2" xfId="0" applyFont="1" applyFill="1" applyBorder="1" applyAlignment="1" applyProtection="1">
      <alignment horizontal="center" vertical="center" wrapText="1"/>
    </xf>
    <xf numFmtId="0" fontId="6" fillId="13" borderId="20" xfId="0" applyFont="1" applyFill="1" applyBorder="1" applyAlignment="1" applyProtection="1">
      <alignment horizontal="center" vertical="center" wrapText="1"/>
    </xf>
    <xf numFmtId="0" fontId="6" fillId="10" borderId="18" xfId="0" applyFont="1" applyFill="1" applyBorder="1" applyAlignment="1" applyProtection="1">
      <alignment horizontal="center" vertical="center" textRotation="90"/>
    </xf>
    <xf numFmtId="0" fontId="0" fillId="10" borderId="18" xfId="0" applyFill="1" applyBorder="1" applyAlignment="1" applyProtection="1">
      <alignment horizontal="center" vertical="center" textRotation="90"/>
    </xf>
    <xf numFmtId="0" fontId="0" fillId="10" borderId="28" xfId="0" applyFill="1" applyBorder="1" applyAlignment="1" applyProtection="1">
      <alignment horizontal="center" vertical="center" textRotation="90"/>
    </xf>
    <xf numFmtId="0" fontId="6" fillId="5" borderId="18" xfId="0" applyFont="1" applyFill="1" applyBorder="1" applyAlignment="1" applyProtection="1">
      <alignment horizontal="center" vertical="center" textRotation="90"/>
    </xf>
    <xf numFmtId="0" fontId="0" fillId="0" borderId="18" xfId="0" applyBorder="1" applyAlignment="1" applyProtection="1">
      <alignment horizontal="center" vertical="center" textRotation="90"/>
    </xf>
    <xf numFmtId="0" fontId="9" fillId="10" borderId="0" xfId="0" applyFont="1" applyFill="1" applyBorder="1" applyAlignment="1" applyProtection="1">
      <alignment horizontal="left" vertical="center"/>
    </xf>
    <xf numFmtId="0" fontId="0" fillId="17" borderId="0" xfId="0" applyFont="1" applyFill="1" applyAlignment="1">
      <alignment wrapText="1"/>
    </xf>
    <xf numFmtId="0" fontId="37" fillId="17" borderId="24" xfId="0" applyFont="1" applyFill="1" applyBorder="1" applyAlignment="1">
      <alignment wrapText="1"/>
    </xf>
    <xf numFmtId="0" fontId="0" fillId="0" borderId="16" xfId="0" applyFont="1" applyBorder="1" applyAlignment="1">
      <alignment wrapText="1"/>
    </xf>
    <xf numFmtId="0" fontId="0" fillId="0" borderId="17" xfId="0" applyFont="1" applyBorder="1" applyAlignment="1">
      <alignment wrapText="1"/>
    </xf>
    <xf numFmtId="1" fontId="0" fillId="16" borderId="16" xfId="0" applyNumberFormat="1" applyFill="1" applyBorder="1" applyAlignment="1">
      <alignment horizontal="center"/>
    </xf>
    <xf numFmtId="0" fontId="0" fillId="0" borderId="17" xfId="0" applyBorder="1" applyAlignment="1">
      <alignment horizontal="center"/>
    </xf>
    <xf numFmtId="1" fontId="0" fillId="16" borderId="11" xfId="0" applyNumberFormat="1" applyFill="1" applyBorder="1" applyAlignment="1">
      <alignment horizontal="center"/>
    </xf>
    <xf numFmtId="0" fontId="0" fillId="0" borderId="12" xfId="0" applyBorder="1" applyAlignment="1"/>
    <xf numFmtId="0" fontId="12" fillId="2" borderId="18" xfId="0" applyFont="1" applyFill="1" applyBorder="1" applyAlignment="1">
      <alignment horizontal="center" vertical="center"/>
    </xf>
    <xf numFmtId="0" fontId="12" fillId="2" borderId="21" xfId="0" applyFont="1" applyFill="1" applyBorder="1" applyAlignment="1">
      <alignment horizontal="center" vertic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24" xfId="0" applyFont="1" applyBorder="1" applyAlignment="1">
      <alignment horizontal="center"/>
    </xf>
    <xf numFmtId="0" fontId="9" fillId="8" borderId="24" xfId="0" applyFont="1" applyFill="1" applyBorder="1" applyAlignment="1">
      <alignment horizontal="center"/>
    </xf>
    <xf numFmtId="0" fontId="9" fillId="8" borderId="17" xfId="0" applyFont="1" applyFill="1" applyBorder="1" applyAlignment="1">
      <alignment horizont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7" fillId="0" borderId="13"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 fillId="0" borderId="1" xfId="0" applyFont="1" applyBorder="1" applyAlignment="1">
      <alignment horizontal="center"/>
    </xf>
    <xf numFmtId="0" fontId="0" fillId="0" borderId="3" xfId="0" applyBorder="1" applyAlignment="1">
      <alignment horizontal="center"/>
    </xf>
    <xf numFmtId="0" fontId="1" fillId="0" borderId="3"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8" fillId="3" borderId="13" xfId="0" applyFont="1" applyFill="1" applyBorder="1" applyAlignment="1">
      <alignment horizontal="center" vertical="center"/>
    </xf>
    <xf numFmtId="0" fontId="8" fillId="3" borderId="1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 fillId="0" borderId="24" xfId="0" applyFont="1" applyBorder="1" applyAlignment="1">
      <alignment horizontal="center"/>
    </xf>
    <xf numFmtId="0" fontId="1" fillId="0" borderId="16" xfId="0" applyFont="1" applyBorder="1" applyAlignment="1">
      <alignment horizontal="center"/>
    </xf>
    <xf numFmtId="0" fontId="7" fillId="0" borderId="19" xfId="0" applyFont="1" applyBorder="1" applyAlignment="1">
      <alignment horizontal="center" vertical="center"/>
    </xf>
    <xf numFmtId="0" fontId="1" fillId="0" borderId="24"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1" fillId="0" borderId="20" xfId="0" applyFont="1" applyBorder="1" applyAlignment="1">
      <alignment horizontal="center" vertical="center"/>
    </xf>
    <xf numFmtId="0" fontId="7" fillId="0" borderId="24" xfId="0" applyFont="1" applyBorder="1" applyAlignment="1">
      <alignment horizontal="center"/>
    </xf>
    <xf numFmtId="0" fontId="7" fillId="0" borderId="22" xfId="0" applyFont="1" applyBorder="1" applyAlignment="1">
      <alignment horizontal="center"/>
    </xf>
    <xf numFmtId="0" fontId="1" fillId="0" borderId="17" xfId="0" applyFont="1" applyBorder="1" applyAlignment="1">
      <alignment horizont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0" fillId="28" borderId="9" xfId="0" applyFill="1" applyBorder="1" applyAlignment="1">
      <alignment horizontal="center"/>
    </xf>
    <xf numFmtId="0" fontId="65" fillId="0" borderId="0" xfId="0" applyFont="1" applyAlignment="1">
      <alignment vertical="center" wrapText="1"/>
    </xf>
    <xf numFmtId="0" fontId="67" fillId="0" borderId="0" xfId="4" applyFont="1" applyAlignment="1">
      <alignment vertical="center"/>
    </xf>
  </cellXfs>
  <cellStyles count="5">
    <cellStyle name="Coma" xfId="3" builtinId="3"/>
    <cellStyle name="Enllaç" xfId="4" builtinId="8"/>
    <cellStyle name="Normal" xfId="0" builtinId="0"/>
    <cellStyle name="Normal 2" xfId="1"/>
    <cellStyle name="Standard 2" xfId="2"/>
  </cellStyles>
  <dxfs count="39">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lor rgb="FFFFFFF3"/>
      </font>
      <fill>
        <patternFill>
          <bgColor rgb="FFFFFFF3"/>
        </patternFill>
      </fill>
    </dxf>
    <dxf>
      <font>
        <color rgb="FFFFFFF3"/>
      </font>
      <fill>
        <patternFill>
          <bgColor rgb="FFFFFFF3"/>
        </patternFill>
      </fill>
    </dxf>
    <dxf>
      <font>
        <color rgb="FFFFFFF3"/>
      </font>
      <fill>
        <patternFill>
          <bgColor rgb="FFFFFFF3"/>
        </patternFill>
      </fill>
    </dxf>
    <dxf>
      <font>
        <color rgb="FFFFFFF3"/>
      </font>
      <fill>
        <patternFill>
          <bgColor rgb="FFFFFFF3"/>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color rgb="FF006100"/>
      </font>
      <fill>
        <patternFill>
          <bgColor rgb="FFC6EFCE"/>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vertical/>
        <horizontal/>
      </border>
    </dxf>
    <dxf>
      <font>
        <color theme="0"/>
      </font>
      <fill>
        <patternFill>
          <bgColor theme="0"/>
        </patternFill>
      </fill>
      <border>
        <vertical/>
        <horizontal/>
      </border>
    </dxf>
    <dxf>
      <font>
        <color theme="0"/>
      </font>
      <fill>
        <patternFill>
          <bgColor theme="0"/>
        </patternFill>
      </fill>
      <border>
        <vertical/>
        <horizontal/>
      </border>
    </dxf>
    <dxf>
      <font>
        <color theme="0"/>
      </font>
      <fill>
        <patternFill>
          <bgColor theme="0"/>
        </patternFill>
      </fill>
      <border>
        <vertical/>
        <horizontal/>
      </border>
    </dxf>
    <dxf>
      <font>
        <color theme="0"/>
      </font>
      <fill>
        <patternFill>
          <bgColor theme="0"/>
        </patternFill>
      </fill>
      <border>
        <vertical/>
        <horizontal/>
      </border>
    </dxf>
    <dxf>
      <font>
        <color theme="0"/>
      </font>
      <fill>
        <patternFill>
          <bgColor theme="0"/>
        </patternFill>
      </fill>
      <border>
        <vertical/>
        <horizontal/>
      </border>
    </dxf>
  </dxfs>
  <tableStyles count="0" defaultTableStyle="TableStyleMedium2" defaultPivotStyle="PivotStyleLight16"/>
  <colors>
    <mruColors>
      <color rgb="FFFFFFF3"/>
      <color rgb="FFFFFFCC"/>
      <color rgb="FFE6E6E6"/>
      <color rgb="FFDEDDBC"/>
      <color rgb="FF315683"/>
      <color rgb="FFFFDEB3"/>
      <color rgb="FFD7D7D7"/>
      <color rgb="FFB8B8B8"/>
      <color rgb="FFC9C892"/>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1</xdr:row>
          <xdr:rowOff>15240</xdr:rowOff>
        </xdr:from>
        <xdr:to>
          <xdr:col>0</xdr:col>
          <xdr:colOff>327660</xdr:colOff>
          <xdr:row>2</xdr:row>
          <xdr:rowOff>129540</xdr:rowOff>
        </xdr:to>
        <xdr:sp macro="" textlink="">
          <xdr:nvSpPr>
            <xdr:cNvPr id="61441" name="Object 1" hidden="1">
              <a:extLst>
                <a:ext uri="{63B3BB69-23CF-44E3-9099-C40C66FF867C}">
                  <a14:compatExt spid="_x0000_s614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68580</xdr:colOff>
      <xdr:row>1</xdr:row>
      <xdr:rowOff>30480</xdr:rowOff>
    </xdr:from>
    <xdr:to>
      <xdr:col>0</xdr:col>
      <xdr:colOff>363395</xdr:colOff>
      <xdr:row>3</xdr:row>
      <xdr:rowOff>0</xdr:rowOff>
    </xdr:to>
    <xdr:pic>
      <xdr:nvPicPr>
        <xdr:cNvPr id="3" name="Imat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91440"/>
          <a:ext cx="294815" cy="33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gestio.web.gencat.cat/ca/tramits/tramits-temes/Comunicacio-anual-dels-nivells-demissio-de-les-activitats-ramaderes?category=" TargetMode="Externa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apa.gob.es/es/ganaderia/temas/ganaderia-y-medio-ambiente/mejorestecnicasdisponiblesparareducirelimpactoambientaldelaganaderia_tcm30-436663.pdf" TargetMode="External"/><Relationship Id="rId2" Type="http://schemas.openxmlformats.org/officeDocument/2006/relationships/hyperlink" Target="https://www.mapa.gob.es/es/ganaderia/temas/ganaderia-y-medio-ambiente/mejorestecnicasdisponiblesparareducirelimpactoambientaldelaganaderia_tcm30-436663.pdf" TargetMode="External"/><Relationship Id="rId1" Type="http://schemas.openxmlformats.org/officeDocument/2006/relationships/hyperlink" Target="https://www.mapa.gob.es/es/ganaderia/temas/ganaderia-y-medio-ambiente/mejorestecnicasdisponiblesparareducirelimpactoambientaldelaganaderia_tcm30-436663.pdf"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13"/>
  <sheetViews>
    <sheetView tabSelected="1" topLeftCell="A3" zoomScale="110" zoomScaleNormal="110" workbookViewId="0">
      <selection activeCell="B9" sqref="B9"/>
    </sheetView>
  </sheetViews>
  <sheetFormatPr defaultRowHeight="14.4" x14ac:dyDescent="0.3"/>
  <cols>
    <col min="1" max="1" width="5.6640625" customWidth="1"/>
    <col min="2" max="2" width="125.109375" customWidth="1"/>
  </cols>
  <sheetData>
    <row r="1" spans="1:3" ht="4.8" customHeight="1" x14ac:dyDescent="0.3">
      <c r="A1" s="485"/>
    </row>
    <row r="2" spans="1:3" x14ac:dyDescent="0.3">
      <c r="B2" s="486" t="s">
        <v>370</v>
      </c>
      <c r="C2" s="146"/>
    </row>
    <row r="3" spans="1:3" x14ac:dyDescent="0.3">
      <c r="B3" s="486" t="s">
        <v>371</v>
      </c>
      <c r="C3" s="146"/>
    </row>
    <row r="4" spans="1:3" x14ac:dyDescent="0.3">
      <c r="B4" s="486" t="s">
        <v>372</v>
      </c>
      <c r="C4" s="146"/>
    </row>
    <row r="5" spans="1:3" x14ac:dyDescent="0.3">
      <c r="B5" s="487" t="s">
        <v>373</v>
      </c>
      <c r="C5" s="146"/>
    </row>
    <row r="6" spans="1:3" x14ac:dyDescent="0.3">
      <c r="B6" s="487" t="s">
        <v>374</v>
      </c>
      <c r="C6" s="146"/>
    </row>
    <row r="7" spans="1:3" ht="16.8" x14ac:dyDescent="0.3">
      <c r="B7" s="488"/>
    </row>
    <row r="8" spans="1:3" s="7" customFormat="1" x14ac:dyDescent="0.3">
      <c r="B8" s="489" t="s">
        <v>375</v>
      </c>
    </row>
    <row r="9" spans="1:3" s="7" customFormat="1" ht="222.6" customHeight="1" x14ac:dyDescent="0.3">
      <c r="B9" s="585" t="s">
        <v>376</v>
      </c>
    </row>
    <row r="10" spans="1:3" s="408" customFormat="1" ht="18.600000000000001" customHeight="1" x14ac:dyDescent="0.3">
      <c r="B10" s="586" t="s">
        <v>377</v>
      </c>
    </row>
    <row r="11" spans="1:3" s="7" customFormat="1" ht="307.8" x14ac:dyDescent="0.3">
      <c r="B11" s="585" t="s">
        <v>379</v>
      </c>
    </row>
    <row r="12" spans="1:3" s="7" customFormat="1" x14ac:dyDescent="0.3">
      <c r="B12" s="490" t="s">
        <v>378</v>
      </c>
    </row>
    <row r="13" spans="1:3" s="7" customFormat="1" ht="239.4" x14ac:dyDescent="0.3">
      <c r="B13" s="585" t="s">
        <v>380</v>
      </c>
    </row>
  </sheetData>
  <sheetProtection algorithmName="SHA-512" hashValue="zCIs0quErvt5Eub1oIffrptjXyJCosv5LR5PPP7xa9KGI8qfxI3wWbee26ZluQ41wxf+sBbkOZ7qmkcLYaIrvw==" saltValue="KQK0RWBI0MjVSUvC1VqGWg==" spinCount="100000" sheet="1" objects="1" scenarios="1" formatCells="0" formatColumns="0" formatRows="0"/>
  <hyperlinks>
    <hyperlink ref="B10" r:id="rId1"/>
  </hyperlinks>
  <pageMargins left="0.7" right="0.7" top="0.75" bottom="0.75" header="0.3" footer="0.3"/>
  <drawing r:id="rId2"/>
  <legacyDrawing r:id="rId3"/>
  <oleObjects>
    <mc:AlternateContent xmlns:mc="http://schemas.openxmlformats.org/markup-compatibility/2006">
      <mc:Choice Requires="x14">
        <oleObject progId="Word.Picture.8" shapeId="61441" r:id="rId4">
          <objectPr defaultSize="0" autoPict="0" r:id="rId5">
            <anchor moveWithCells="1" sizeWithCells="1">
              <from>
                <xdr:col>0</xdr:col>
                <xdr:colOff>38100</xdr:colOff>
                <xdr:row>1</xdr:row>
                <xdr:rowOff>15240</xdr:rowOff>
              </from>
              <to>
                <xdr:col>0</xdr:col>
                <xdr:colOff>327660</xdr:colOff>
                <xdr:row>2</xdr:row>
                <xdr:rowOff>129540</xdr:rowOff>
              </to>
            </anchor>
          </objectPr>
        </oleObject>
      </mc:Choice>
      <mc:Fallback>
        <oleObject progId="Word.Picture.8" shapeId="6144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zoomScale="85" zoomScaleNormal="85" workbookViewId="0">
      <selection activeCell="F32" sqref="F32"/>
    </sheetView>
  </sheetViews>
  <sheetFormatPr defaultRowHeight="14.4" x14ac:dyDescent="0.3"/>
  <cols>
    <col min="1" max="5" width="8.88671875" style="447"/>
    <col min="6" max="6" width="28.6640625" style="447" customWidth="1"/>
    <col min="7" max="7" width="5.109375" style="447" customWidth="1"/>
    <col min="8" max="8" width="128.21875" style="447" customWidth="1"/>
    <col min="9" max="16384" width="8.88671875" style="446"/>
  </cols>
  <sheetData>
    <row r="1" spans="1:8" s="435" customFormat="1" ht="13.8" customHeight="1" x14ac:dyDescent="0.3">
      <c r="A1" s="310"/>
      <c r="B1" s="410" t="s">
        <v>365</v>
      </c>
      <c r="C1" s="310"/>
      <c r="D1" s="310"/>
      <c r="E1" s="310"/>
      <c r="F1" s="310"/>
      <c r="G1" s="311"/>
      <c r="H1" s="474" t="s">
        <v>364</v>
      </c>
    </row>
    <row r="2" spans="1:8" s="435" customFormat="1" ht="17.25" customHeight="1" x14ac:dyDescent="0.3">
      <c r="A2" s="313"/>
      <c r="B2" s="505" t="s">
        <v>331</v>
      </c>
      <c r="C2" s="506"/>
      <c r="D2" s="506"/>
      <c r="E2" s="506"/>
      <c r="F2" s="506"/>
      <c r="G2" s="314"/>
      <c r="H2" s="475" t="s">
        <v>190</v>
      </c>
    </row>
    <row r="3" spans="1:8" s="435" customFormat="1" ht="16.2" customHeight="1" thickBot="1" x14ac:dyDescent="0.35">
      <c r="A3" s="313"/>
      <c r="B3" s="506"/>
      <c r="C3" s="506"/>
      <c r="D3" s="506"/>
      <c r="E3" s="506"/>
      <c r="F3" s="506"/>
      <c r="G3" s="317"/>
      <c r="H3" s="476" t="s">
        <v>191</v>
      </c>
    </row>
    <row r="4" spans="1:8" s="435" customFormat="1" ht="18" customHeight="1" x14ac:dyDescent="0.3">
      <c r="A4" s="313"/>
      <c r="B4" s="496" t="s">
        <v>336</v>
      </c>
      <c r="C4" s="497"/>
      <c r="D4" s="497"/>
      <c r="E4" s="497"/>
      <c r="F4" s="498"/>
      <c r="G4" s="314"/>
      <c r="H4" s="475" t="s">
        <v>352</v>
      </c>
    </row>
    <row r="5" spans="1:8" s="435" customFormat="1" ht="30.6" customHeight="1" x14ac:dyDescent="0.3">
      <c r="A5" s="313"/>
      <c r="B5" s="499"/>
      <c r="C5" s="500"/>
      <c r="D5" s="500"/>
      <c r="E5" s="500"/>
      <c r="F5" s="501"/>
      <c r="G5" s="317"/>
      <c r="H5" s="476" t="s">
        <v>192</v>
      </c>
    </row>
    <row r="6" spans="1:8" s="435" customFormat="1" ht="5.0999999999999996" customHeight="1" x14ac:dyDescent="0.3">
      <c r="A6" s="313"/>
      <c r="B6" s="320"/>
      <c r="C6" s="321"/>
      <c r="D6" s="321"/>
      <c r="E6" s="321"/>
      <c r="F6" s="322"/>
      <c r="G6" s="319"/>
      <c r="H6" s="477"/>
    </row>
    <row r="7" spans="1:8" s="435" customFormat="1" ht="15.75" customHeight="1" x14ac:dyDescent="0.3">
      <c r="A7" s="313"/>
      <c r="B7" s="491" t="s">
        <v>182</v>
      </c>
      <c r="C7" s="492"/>
      <c r="D7" s="502"/>
      <c r="E7" s="503"/>
      <c r="F7" s="504"/>
      <c r="G7" s="314"/>
      <c r="H7" s="475" t="s">
        <v>193</v>
      </c>
    </row>
    <row r="8" spans="1:8" s="435" customFormat="1" ht="5.0999999999999996" customHeight="1" x14ac:dyDescent="0.3">
      <c r="A8" s="313"/>
      <c r="B8" s="323"/>
      <c r="C8" s="324"/>
      <c r="D8" s="325"/>
      <c r="E8" s="325"/>
      <c r="F8" s="326"/>
      <c r="G8" s="318"/>
      <c r="H8" s="478"/>
    </row>
    <row r="9" spans="1:8" s="435" customFormat="1" ht="15.75" customHeight="1" x14ac:dyDescent="0.3">
      <c r="A9" s="313"/>
      <c r="B9" s="491" t="s">
        <v>183</v>
      </c>
      <c r="C9" s="492"/>
      <c r="D9" s="493"/>
      <c r="E9" s="494"/>
      <c r="F9" s="495"/>
      <c r="G9" s="317"/>
      <c r="H9" s="476" t="s">
        <v>194</v>
      </c>
    </row>
    <row r="10" spans="1:8" s="435" customFormat="1" ht="5.0999999999999996" customHeight="1" x14ac:dyDescent="0.3">
      <c r="A10" s="313"/>
      <c r="B10" s="323"/>
      <c r="C10" s="324"/>
      <c r="D10" s="325"/>
      <c r="E10" s="325"/>
      <c r="F10" s="326"/>
      <c r="G10" s="328"/>
      <c r="H10" s="479"/>
    </row>
    <row r="11" spans="1:8" s="435" customFormat="1" ht="15" customHeight="1" x14ac:dyDescent="0.3">
      <c r="A11" s="313"/>
      <c r="B11" s="507" t="s">
        <v>184</v>
      </c>
      <c r="C11" s="508"/>
      <c r="D11" s="493">
        <v>2020</v>
      </c>
      <c r="E11" s="494"/>
      <c r="F11" s="495"/>
      <c r="G11" s="314"/>
      <c r="H11" s="475" t="s">
        <v>196</v>
      </c>
    </row>
    <row r="12" spans="1:8" s="435" customFormat="1" ht="5.0999999999999996" customHeight="1" x14ac:dyDescent="0.3">
      <c r="A12" s="313"/>
      <c r="B12" s="323"/>
      <c r="C12" s="324"/>
      <c r="D12" s="325"/>
      <c r="E12" s="325"/>
      <c r="F12" s="326"/>
      <c r="G12" s="319"/>
      <c r="H12" s="477"/>
    </row>
    <row r="13" spans="1:8" s="435" customFormat="1" ht="17.25" customHeight="1" x14ac:dyDescent="0.3">
      <c r="A13" s="313"/>
      <c r="B13" s="491" t="s">
        <v>185</v>
      </c>
      <c r="C13" s="492"/>
      <c r="D13" s="493"/>
      <c r="E13" s="494"/>
      <c r="F13" s="495"/>
      <c r="G13" s="317"/>
      <c r="H13" s="476" t="s">
        <v>195</v>
      </c>
    </row>
    <row r="14" spans="1:8" s="435" customFormat="1" ht="5.0999999999999996" customHeight="1" x14ac:dyDescent="0.3">
      <c r="A14" s="313"/>
      <c r="B14" s="323"/>
      <c r="C14" s="324"/>
      <c r="D14" s="325"/>
      <c r="E14" s="325"/>
      <c r="F14" s="326"/>
      <c r="G14" s="319"/>
      <c r="H14" s="477"/>
    </row>
    <row r="15" spans="1:8" s="435" customFormat="1" ht="17.25" customHeight="1" x14ac:dyDescent="0.3">
      <c r="A15" s="313"/>
      <c r="B15" s="491" t="s">
        <v>186</v>
      </c>
      <c r="C15" s="492"/>
      <c r="D15" s="493"/>
      <c r="E15" s="494"/>
      <c r="F15" s="495"/>
      <c r="G15" s="317"/>
      <c r="H15" s="476" t="s">
        <v>353</v>
      </c>
    </row>
    <row r="16" spans="1:8" s="435" customFormat="1" ht="14.4" customHeight="1" x14ac:dyDescent="0.3">
      <c r="A16" s="313"/>
      <c r="B16" s="330"/>
      <c r="C16" s="331"/>
      <c r="D16" s="331"/>
      <c r="E16" s="331"/>
      <c r="F16" s="332"/>
      <c r="G16" s="317"/>
      <c r="H16" s="476" t="s">
        <v>203</v>
      </c>
    </row>
    <row r="17" spans="1:8" s="435" customFormat="1" ht="4.5" customHeight="1" thickBot="1" x14ac:dyDescent="0.35">
      <c r="A17" s="313"/>
      <c r="B17" s="334"/>
      <c r="C17" s="335"/>
      <c r="D17" s="335"/>
      <c r="E17" s="335"/>
      <c r="F17" s="336"/>
      <c r="G17" s="328"/>
      <c r="H17" s="479"/>
    </row>
    <row r="18" spans="1:8" s="435" customFormat="1" ht="5.4" customHeight="1" x14ac:dyDescent="0.3">
      <c r="A18" s="313"/>
      <c r="B18" s="313"/>
      <c r="C18" s="313"/>
      <c r="D18" s="313"/>
      <c r="E18" s="313"/>
      <c r="F18" s="313"/>
      <c r="G18" s="328"/>
      <c r="H18" s="479"/>
    </row>
    <row r="19" spans="1:8" ht="15.6" x14ac:dyDescent="0.3">
      <c r="A19" s="313"/>
      <c r="B19" s="313"/>
      <c r="C19" s="313"/>
      <c r="D19" s="313"/>
      <c r="E19" s="313"/>
      <c r="F19" s="313"/>
      <c r="G19" s="314"/>
      <c r="H19" s="475" t="s">
        <v>205</v>
      </c>
    </row>
    <row r="20" spans="1:8" ht="15.6" x14ac:dyDescent="0.3">
      <c r="A20" s="313"/>
      <c r="B20" s="313"/>
      <c r="C20" s="313"/>
      <c r="D20" s="313"/>
      <c r="E20" s="313"/>
      <c r="F20" s="313"/>
      <c r="G20" s="317"/>
      <c r="H20" s="476" t="s">
        <v>333</v>
      </c>
    </row>
    <row r="21" spans="1:8" ht="15.6" x14ac:dyDescent="0.3">
      <c r="A21" s="313"/>
      <c r="B21" s="313"/>
      <c r="C21" s="313"/>
      <c r="D21" s="313"/>
      <c r="E21" s="313"/>
      <c r="F21" s="313"/>
      <c r="G21" s="317"/>
      <c r="H21" s="476" t="s">
        <v>204</v>
      </c>
    </row>
    <row r="22" spans="1:8" x14ac:dyDescent="0.3">
      <c r="A22" s="313"/>
      <c r="B22" s="313"/>
      <c r="C22" s="313"/>
      <c r="D22" s="313"/>
      <c r="E22" s="313"/>
      <c r="F22" s="313"/>
      <c r="G22" s="313"/>
      <c r="H22" s="480"/>
    </row>
    <row r="23" spans="1:8" ht="15.6" x14ac:dyDescent="0.3">
      <c r="A23" s="313"/>
      <c r="B23" s="313"/>
      <c r="C23" s="313"/>
      <c r="D23" s="313"/>
      <c r="E23" s="313"/>
      <c r="F23" s="313"/>
      <c r="G23" s="314"/>
      <c r="H23" s="475" t="s">
        <v>334</v>
      </c>
    </row>
    <row r="24" spans="1:8" ht="15.6" x14ac:dyDescent="0.3">
      <c r="A24" s="313"/>
      <c r="B24" s="313"/>
      <c r="C24" s="313"/>
      <c r="D24" s="313"/>
      <c r="E24" s="313"/>
      <c r="F24" s="313"/>
      <c r="G24" s="317"/>
      <c r="H24" s="481" t="s">
        <v>335</v>
      </c>
    </row>
  </sheetData>
  <sheetProtection sheet="1" objects="1" scenarios="1" formatCells="0" formatColumns="0" formatRows="0"/>
  <mergeCells count="12">
    <mergeCell ref="B2:F3"/>
    <mergeCell ref="B11:C11"/>
    <mergeCell ref="D11:F11"/>
    <mergeCell ref="B13:C13"/>
    <mergeCell ref="D13:F13"/>
    <mergeCell ref="B15:C15"/>
    <mergeCell ref="D15:F15"/>
    <mergeCell ref="B4:F5"/>
    <mergeCell ref="B7:C7"/>
    <mergeCell ref="D7:F7"/>
    <mergeCell ref="B9:C9"/>
    <mergeCell ref="D9:F9"/>
  </mergeCells>
  <dataValidations count="5">
    <dataValidation type="whole" allowBlank="1" showInputMessage="1" showErrorMessage="1" error="Introdueixi un any vàlid" prompt="Indiqui l'any al que fan referència els càlculs d'aquest full" sqref="D11:G11">
      <formula1>2019</formula1>
      <formula2>2030</formula2>
    </dataValidation>
    <dataValidation allowBlank="1" showInputMessage="1" showErrorMessage="1" prompt="Nom de l'explotació" sqref="D13"/>
    <dataValidation allowBlank="1" showInputMessage="1" showErrorMessage="1" promptTitle="Indiqui el nom del Titular" sqref="D15:G15"/>
    <dataValidation type="custom" allowBlank="1" showInputMessage="1" showErrorMessage="1" errorTitle="Indiqui la Marca Oficial" error="Indiqui la Marca Oficial. Format de 4 dígits + 2 lletres _x000a_Exemples: 1230AA, 4550BE_x000a_" promptTitle="Indiqui la Marca Oficial" prompt="Format de 4 dígits + 2 lletres. _x000a_Exemples: 1230AA, 4550BE" sqref="D7:G7">
      <formula1>LEN(D7)=6</formula1>
    </dataValidation>
    <dataValidation type="whole" allowBlank="1" showInputMessage="1" showErrorMessage="1" errorTitle="IDQA no vàlid" error="Identificador numèric assignat per la Direcció General de Qualitat Ambiental i Canvi Climàtic (Autorització Ambiental, inspeccions ambientals, etc)" prompt="Identificador numèric assignat per la Direcció General de Qualitat Ambiental i Canvi Climàtic (Autorització Ambiental, inspeccions ambientals, etc)" sqref="D9:G9">
      <formula1>1</formula1>
      <formula2>20000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92D050"/>
  </sheetPr>
  <dimension ref="A1:V33"/>
  <sheetViews>
    <sheetView zoomScale="70" zoomScaleNormal="70" workbookViewId="0">
      <pane xSplit="6" ySplit="5" topLeftCell="G6" activePane="bottomRight" state="frozen"/>
      <selection pane="topRight" activeCell="G1" sqref="G1"/>
      <selection pane="bottomLeft" activeCell="A23" sqref="A23"/>
      <selection pane="bottomRight" activeCell="E8" sqref="E8"/>
    </sheetView>
  </sheetViews>
  <sheetFormatPr defaultColWidth="30.88671875" defaultRowHeight="14.4" x14ac:dyDescent="0.3"/>
  <cols>
    <col min="1" max="1" width="3.44140625" style="312" customWidth="1"/>
    <col min="2" max="2" width="5" style="402" customWidth="1"/>
    <col min="3" max="3" width="17.5546875" style="312" customWidth="1"/>
    <col min="4" max="4" width="17.88671875" style="312" customWidth="1"/>
    <col min="5" max="5" width="16.33203125" style="316" customWidth="1"/>
    <col min="6" max="6" width="5.33203125" style="316" customWidth="1"/>
    <col min="7" max="7" width="86" style="316" customWidth="1"/>
    <col min="8" max="8" width="3.88671875" style="316" customWidth="1"/>
    <col min="9" max="9" width="19.5546875" style="316" hidden="1" customWidth="1"/>
    <col min="10" max="10" width="3.88671875" style="316" hidden="1" customWidth="1"/>
    <col min="11" max="11" width="25.77734375" style="316" customWidth="1"/>
    <col min="12" max="12" width="3.33203125" style="316" customWidth="1"/>
    <col min="13" max="13" width="24.33203125" style="316" customWidth="1"/>
    <col min="14" max="14" width="3.77734375" style="316" customWidth="1"/>
    <col min="15" max="15" width="45.33203125" style="316" customWidth="1"/>
    <col min="16" max="16" width="4.33203125" style="316" customWidth="1"/>
    <col min="17" max="17" width="29.44140625" style="316" customWidth="1"/>
    <col min="18" max="18" width="3.6640625" style="316" customWidth="1"/>
    <col min="19" max="19" width="52.21875" style="316" customWidth="1"/>
    <col min="20" max="20" width="3.88671875" style="316" customWidth="1"/>
    <col min="21" max="21" width="36" style="316" customWidth="1"/>
    <col min="22" max="22" width="5" style="316" customWidth="1"/>
    <col min="23" max="16384" width="30.88671875" style="316"/>
  </cols>
  <sheetData>
    <row r="1" spans="1:22" s="312" customFormat="1" ht="13.8" customHeight="1" x14ac:dyDescent="0.3">
      <c r="A1" s="313"/>
      <c r="B1" s="328"/>
      <c r="C1" s="433" t="s">
        <v>182</v>
      </c>
      <c r="D1" s="438">
        <f>Dades_Id_expl!D7</f>
        <v>0</v>
      </c>
      <c r="E1" s="437" t="str">
        <f>IF(D1=0,"ERROR: Indiqui la Marca Oficial al full 'Dades_Id_expl'","")</f>
        <v>ERROR: Indiqui la Marca Oficial al full 'Dades_Id_expl'</v>
      </c>
      <c r="F1" s="436"/>
      <c r="G1" s="436"/>
      <c r="H1" s="315"/>
      <c r="I1" s="315"/>
      <c r="J1" s="315"/>
      <c r="K1" s="315"/>
      <c r="L1" s="315"/>
      <c r="M1" s="315"/>
      <c r="N1" s="315"/>
      <c r="O1" s="315"/>
      <c r="P1" s="329"/>
      <c r="Q1" s="327"/>
      <c r="R1" s="333"/>
      <c r="S1" s="310"/>
      <c r="T1" s="310"/>
    </row>
    <row r="2" spans="1:22" s="312" customFormat="1" ht="13.8" customHeight="1" x14ac:dyDescent="0.3">
      <c r="A2" s="337"/>
      <c r="B2" s="328"/>
      <c r="C2" s="434" t="s">
        <v>332</v>
      </c>
      <c r="D2" s="439">
        <f>Dades_Id_expl!D13</f>
        <v>0</v>
      </c>
      <c r="E2" s="437" t="str">
        <f>IF(D2=0,"ERROR: Indiqui el Nom al full 'Dades_Id_expl'","")</f>
        <v>ERROR: Indiqui el Nom al full 'Dades_Id_expl'</v>
      </c>
      <c r="F2" s="436"/>
      <c r="G2" s="436"/>
      <c r="H2" s="328"/>
      <c r="I2" s="328"/>
      <c r="J2" s="328"/>
      <c r="K2" s="328"/>
      <c r="L2" s="328"/>
      <c r="M2" s="328"/>
      <c r="N2" s="338"/>
      <c r="O2" s="338"/>
      <c r="P2" s="338"/>
      <c r="Q2" s="327"/>
      <c r="R2" s="333"/>
      <c r="S2" s="310"/>
      <c r="T2" s="338"/>
    </row>
    <row r="3" spans="1:22" s="312" customFormat="1" ht="8.4" customHeight="1" thickBot="1" x14ac:dyDescent="0.35">
      <c r="A3" s="339"/>
      <c r="B3" s="340"/>
      <c r="C3" s="341"/>
      <c r="D3" s="341"/>
      <c r="E3" s="341"/>
      <c r="F3" s="341"/>
      <c r="G3" s="341"/>
      <c r="H3" s="341"/>
      <c r="I3" s="341"/>
      <c r="J3" s="341"/>
      <c r="K3" s="341"/>
      <c r="L3" s="341"/>
      <c r="M3" s="341"/>
      <c r="N3" s="341"/>
      <c r="O3" s="341"/>
      <c r="P3" s="341"/>
      <c r="Q3" s="341"/>
      <c r="R3" s="342"/>
      <c r="S3" s="342"/>
      <c r="T3" s="341"/>
    </row>
    <row r="4" spans="1:22" s="312" customFormat="1" ht="37.200000000000003" customHeight="1" x14ac:dyDescent="0.3">
      <c r="A4" s="453"/>
      <c r="B4" s="454"/>
      <c r="C4" s="512" t="s">
        <v>197</v>
      </c>
      <c r="D4" s="513"/>
      <c r="E4" s="521" t="s">
        <v>281</v>
      </c>
      <c r="F4" s="455"/>
      <c r="G4" s="523" t="s">
        <v>198</v>
      </c>
      <c r="H4" s="455"/>
      <c r="I4" s="456" t="s">
        <v>129</v>
      </c>
      <c r="J4" s="455"/>
      <c r="K4" s="511" t="s">
        <v>199</v>
      </c>
      <c r="L4" s="511"/>
      <c r="M4" s="511"/>
      <c r="N4" s="457"/>
      <c r="O4" s="458" t="s">
        <v>200</v>
      </c>
      <c r="P4" s="459"/>
      <c r="Q4" s="519" t="s">
        <v>201</v>
      </c>
      <c r="R4" s="459"/>
      <c r="S4" s="516" t="s">
        <v>202</v>
      </c>
      <c r="T4" s="459"/>
      <c r="U4" s="509" t="s">
        <v>350</v>
      </c>
      <c r="V4" s="460"/>
    </row>
    <row r="5" spans="1:22" s="312" customFormat="1" ht="16.8" customHeight="1" thickBot="1" x14ac:dyDescent="0.35">
      <c r="A5" s="339"/>
      <c r="B5" s="441"/>
      <c r="C5" s="514"/>
      <c r="D5" s="515"/>
      <c r="E5" s="522"/>
      <c r="F5" s="341"/>
      <c r="G5" s="524"/>
      <c r="H5" s="341"/>
      <c r="I5" s="345" t="s">
        <v>170</v>
      </c>
      <c r="J5" s="341"/>
      <c r="K5" s="346" t="s">
        <v>313</v>
      </c>
      <c r="L5" s="346"/>
      <c r="M5" s="346" t="s">
        <v>314</v>
      </c>
      <c r="N5" s="347"/>
      <c r="O5" s="348"/>
      <c r="P5" s="343"/>
      <c r="Q5" s="520"/>
      <c r="R5" s="343"/>
      <c r="S5" s="517"/>
      <c r="T5" s="463"/>
      <c r="U5" s="510"/>
      <c r="V5" s="464"/>
    </row>
    <row r="6" spans="1:22" s="312" customFormat="1" ht="23.4" customHeight="1" x14ac:dyDescent="0.3">
      <c r="A6" s="339"/>
      <c r="B6" s="349"/>
      <c r="C6" s="350" t="s">
        <v>189</v>
      </c>
      <c r="D6" s="349"/>
      <c r="E6" s="349"/>
      <c r="F6" s="349"/>
      <c r="G6" s="349"/>
      <c r="H6" s="349"/>
      <c r="I6" s="349"/>
      <c r="J6" s="349"/>
      <c r="K6" s="349"/>
      <c r="L6" s="349"/>
      <c r="M6" s="349"/>
      <c r="N6" s="349"/>
      <c r="O6" s="350"/>
      <c r="P6" s="349"/>
      <c r="Q6" s="349"/>
      <c r="R6" s="349"/>
      <c r="S6" s="349"/>
      <c r="T6" s="349"/>
      <c r="U6" s="349"/>
      <c r="V6" s="351"/>
    </row>
    <row r="7" spans="1:22" s="312" customFormat="1" ht="9.6" customHeight="1" x14ac:dyDescent="0.3">
      <c r="A7" s="339"/>
      <c r="B7" s="441"/>
      <c r="C7" s="352"/>
      <c r="D7" s="352"/>
      <c r="E7" s="352"/>
      <c r="F7" s="341"/>
      <c r="G7" s="353"/>
      <c r="H7" s="341"/>
      <c r="I7" s="354"/>
      <c r="J7" s="341"/>
      <c r="K7" s="355"/>
      <c r="L7" s="355"/>
      <c r="M7" s="355"/>
      <c r="N7" s="347"/>
      <c r="O7" s="356"/>
      <c r="P7" s="343"/>
      <c r="Q7" s="357"/>
      <c r="R7" s="343"/>
      <c r="S7" s="358"/>
      <c r="T7" s="343"/>
      <c r="U7" s="467"/>
      <c r="V7" s="344"/>
    </row>
    <row r="8" spans="1:22" ht="15" customHeight="1" x14ac:dyDescent="0.3">
      <c r="A8" s="339"/>
      <c r="B8" s="528" t="s">
        <v>187</v>
      </c>
      <c r="C8" s="518" t="s">
        <v>173</v>
      </c>
      <c r="D8" s="518"/>
      <c r="E8" s="471">
        <v>0</v>
      </c>
      <c r="F8" s="341"/>
      <c r="G8" s="283" t="s">
        <v>251</v>
      </c>
      <c r="H8" s="341"/>
      <c r="I8" s="359">
        <v>0</v>
      </c>
      <c r="J8" s="341"/>
      <c r="K8" s="113" t="s">
        <v>208</v>
      </c>
      <c r="L8" s="360"/>
      <c r="M8" s="361"/>
      <c r="N8" s="347"/>
      <c r="O8" s="197" t="s">
        <v>206</v>
      </c>
      <c r="P8" s="343"/>
      <c r="Q8" s="113" t="s">
        <v>209</v>
      </c>
      <c r="R8" s="362"/>
      <c r="S8" s="452" t="s">
        <v>258</v>
      </c>
      <c r="T8" s="343"/>
      <c r="U8" s="470"/>
      <c r="V8" s="461"/>
    </row>
    <row r="9" spans="1:22" s="312" customFormat="1" ht="15" customHeight="1" x14ac:dyDescent="0.3">
      <c r="A9" s="339"/>
      <c r="B9" s="529"/>
      <c r="C9" s="440"/>
      <c r="D9" s="440"/>
      <c r="E9" s="352"/>
      <c r="F9" s="341"/>
      <c r="G9" s="363"/>
      <c r="H9" s="341"/>
      <c r="I9" s="364"/>
      <c r="J9" s="341"/>
      <c r="K9" s="360"/>
      <c r="L9" s="360"/>
      <c r="M9" s="361"/>
      <c r="N9" s="365"/>
      <c r="O9" s="366"/>
      <c r="P9" s="343"/>
      <c r="Q9" s="367"/>
      <c r="R9" s="343"/>
      <c r="S9" s="368"/>
      <c r="T9" s="343"/>
      <c r="U9" s="468"/>
      <c r="V9" s="344"/>
    </row>
    <row r="10" spans="1:22" ht="13.8" customHeight="1" x14ac:dyDescent="0.3">
      <c r="A10" s="339"/>
      <c r="B10" s="529"/>
      <c r="C10" s="518" t="s">
        <v>176</v>
      </c>
      <c r="D10" s="518"/>
      <c r="E10" s="471">
        <v>0</v>
      </c>
      <c r="F10" s="341"/>
      <c r="G10" s="283" t="s">
        <v>251</v>
      </c>
      <c r="H10" s="341"/>
      <c r="I10" s="359">
        <v>0</v>
      </c>
      <c r="J10" s="341"/>
      <c r="K10" s="113" t="s">
        <v>208</v>
      </c>
      <c r="L10" s="360"/>
      <c r="M10" s="361"/>
      <c r="N10" s="369"/>
      <c r="O10" s="197" t="s">
        <v>206</v>
      </c>
      <c r="P10" s="343"/>
      <c r="Q10" s="113" t="s">
        <v>209</v>
      </c>
      <c r="R10" s="362"/>
      <c r="S10" s="63" t="s">
        <v>258</v>
      </c>
      <c r="T10" s="343"/>
      <c r="U10" s="470"/>
      <c r="V10" s="461"/>
    </row>
    <row r="11" spans="1:22" s="312" customFormat="1" ht="15" customHeight="1" x14ac:dyDescent="0.3">
      <c r="A11" s="339"/>
      <c r="B11" s="529"/>
      <c r="C11" s="440"/>
      <c r="D11" s="440"/>
      <c r="E11" s="352"/>
      <c r="F11" s="341"/>
      <c r="G11" s="363"/>
      <c r="H11" s="341"/>
      <c r="I11" s="364"/>
      <c r="J11" s="341"/>
      <c r="K11" s="360"/>
      <c r="L11" s="360"/>
      <c r="M11" s="361"/>
      <c r="N11" s="365"/>
      <c r="O11" s="366"/>
      <c r="P11" s="343"/>
      <c r="Q11" s="367"/>
      <c r="R11" s="343"/>
      <c r="S11" s="368"/>
      <c r="T11" s="343"/>
      <c r="U11" s="468"/>
      <c r="V11" s="344"/>
    </row>
    <row r="12" spans="1:22" ht="15" customHeight="1" x14ac:dyDescent="0.3">
      <c r="A12" s="339"/>
      <c r="B12" s="529"/>
      <c r="C12" s="518" t="s">
        <v>263</v>
      </c>
      <c r="D12" s="518"/>
      <c r="E12" s="471">
        <v>0</v>
      </c>
      <c r="F12" s="341"/>
      <c r="G12" s="283" t="s">
        <v>265</v>
      </c>
      <c r="H12" s="341"/>
      <c r="I12" s="359">
        <v>0</v>
      </c>
      <c r="J12" s="341"/>
      <c r="K12" s="113" t="s">
        <v>208</v>
      </c>
      <c r="L12" s="360"/>
      <c r="M12" s="361"/>
      <c r="N12" s="369"/>
      <c r="O12" s="197" t="s">
        <v>206</v>
      </c>
      <c r="P12" s="343"/>
      <c r="Q12" s="113" t="s">
        <v>209</v>
      </c>
      <c r="R12" s="362"/>
      <c r="S12" s="63" t="s">
        <v>258</v>
      </c>
      <c r="T12" s="343"/>
      <c r="U12" s="470"/>
      <c r="V12" s="461"/>
    </row>
    <row r="13" spans="1:22" ht="15" customHeight="1" x14ac:dyDescent="0.3">
      <c r="A13" s="339"/>
      <c r="B13" s="529"/>
      <c r="C13" s="440"/>
      <c r="D13" s="440"/>
      <c r="E13" s="352"/>
      <c r="F13" s="341"/>
      <c r="G13" s="363"/>
      <c r="H13" s="341"/>
      <c r="I13" s="364"/>
      <c r="J13" s="341"/>
      <c r="K13" s="360"/>
      <c r="L13" s="360"/>
      <c r="M13" s="361"/>
      <c r="N13" s="369"/>
      <c r="O13" s="366"/>
      <c r="P13" s="343"/>
      <c r="Q13" s="367"/>
      <c r="R13" s="362"/>
      <c r="S13" s="368"/>
      <c r="T13" s="343"/>
      <c r="U13" s="468"/>
      <c r="V13" s="461"/>
    </row>
    <row r="14" spans="1:22" ht="15" customHeight="1" x14ac:dyDescent="0.3">
      <c r="A14" s="339"/>
      <c r="B14" s="529"/>
      <c r="C14" s="440" t="s">
        <v>264</v>
      </c>
      <c r="D14" s="440"/>
      <c r="E14" s="471">
        <v>0</v>
      </c>
      <c r="F14" s="341"/>
      <c r="G14" s="283" t="s">
        <v>265</v>
      </c>
      <c r="H14" s="341"/>
      <c r="I14" s="359">
        <v>0</v>
      </c>
      <c r="J14" s="341"/>
      <c r="K14" s="113" t="s">
        <v>208</v>
      </c>
      <c r="L14" s="360"/>
      <c r="M14" s="361"/>
      <c r="N14" s="369"/>
      <c r="O14" s="197" t="s">
        <v>206</v>
      </c>
      <c r="P14" s="343"/>
      <c r="Q14" s="113" t="s">
        <v>209</v>
      </c>
      <c r="R14" s="362"/>
      <c r="S14" s="63" t="s">
        <v>258</v>
      </c>
      <c r="T14" s="343"/>
      <c r="U14" s="470"/>
      <c r="V14" s="461"/>
    </row>
    <row r="15" spans="1:22" s="312" customFormat="1" ht="15" customHeight="1" x14ac:dyDescent="0.3">
      <c r="A15" s="339"/>
      <c r="B15" s="529"/>
      <c r="C15" s="440"/>
      <c r="D15" s="440"/>
      <c r="E15" s="352"/>
      <c r="F15" s="341"/>
      <c r="G15" s="370"/>
      <c r="H15" s="341"/>
      <c r="I15" s="364"/>
      <c r="J15" s="341"/>
      <c r="K15" s="367"/>
      <c r="L15" s="367"/>
      <c r="M15" s="361"/>
      <c r="N15" s="365"/>
      <c r="O15" s="366"/>
      <c r="P15" s="343"/>
      <c r="Q15" s="367"/>
      <c r="R15" s="343"/>
      <c r="S15" s="368"/>
      <c r="T15" s="343"/>
      <c r="U15" s="468"/>
      <c r="V15" s="344"/>
    </row>
    <row r="16" spans="1:22" s="312" customFormat="1" ht="15" customHeight="1" x14ac:dyDescent="0.3">
      <c r="A16" s="339"/>
      <c r="B16" s="529"/>
      <c r="C16" s="440" t="s">
        <v>175</v>
      </c>
      <c r="D16" s="440"/>
      <c r="E16" s="471">
        <v>0</v>
      </c>
      <c r="F16" s="341"/>
      <c r="G16" s="283" t="s">
        <v>265</v>
      </c>
      <c r="H16" s="341"/>
      <c r="I16" s="359">
        <v>0</v>
      </c>
      <c r="J16" s="341"/>
      <c r="K16" s="113" t="s">
        <v>208</v>
      </c>
      <c r="L16" s="360"/>
      <c r="M16" s="113" t="s">
        <v>208</v>
      </c>
      <c r="N16" s="369"/>
      <c r="O16" s="197" t="s">
        <v>206</v>
      </c>
      <c r="P16" s="343"/>
      <c r="Q16" s="113" t="s">
        <v>209</v>
      </c>
      <c r="R16" s="362"/>
      <c r="S16" s="63" t="s">
        <v>258</v>
      </c>
      <c r="T16" s="343"/>
      <c r="U16" s="470"/>
      <c r="V16" s="344"/>
    </row>
    <row r="17" spans="1:22" s="312" customFormat="1" ht="15" customHeight="1" x14ac:dyDescent="0.3">
      <c r="A17" s="339"/>
      <c r="B17" s="529"/>
      <c r="C17" s="440"/>
      <c r="D17" s="440"/>
      <c r="E17" s="352"/>
      <c r="F17" s="341"/>
      <c r="G17" s="370"/>
      <c r="H17" s="341"/>
      <c r="I17" s="364"/>
      <c r="J17" s="341"/>
      <c r="K17" s="367"/>
      <c r="L17" s="367"/>
      <c r="M17" s="367"/>
      <c r="N17" s="369"/>
      <c r="O17" s="366"/>
      <c r="P17" s="343"/>
      <c r="Q17" s="367"/>
      <c r="R17" s="362"/>
      <c r="S17" s="368"/>
      <c r="T17" s="343"/>
      <c r="U17" s="468"/>
      <c r="V17" s="344"/>
    </row>
    <row r="18" spans="1:22" s="312" customFormat="1" ht="15" customHeight="1" x14ac:dyDescent="0.3">
      <c r="A18" s="339"/>
      <c r="B18" s="529"/>
      <c r="C18" s="440" t="s">
        <v>178</v>
      </c>
      <c r="D18" s="440"/>
      <c r="E18" s="471">
        <v>0</v>
      </c>
      <c r="F18" s="341"/>
      <c r="G18" s="283" t="s">
        <v>265</v>
      </c>
      <c r="H18" s="341"/>
      <c r="I18" s="359">
        <v>0</v>
      </c>
      <c r="J18" s="341"/>
      <c r="K18" s="113" t="s">
        <v>208</v>
      </c>
      <c r="L18" s="360"/>
      <c r="M18" s="113" t="s">
        <v>208</v>
      </c>
      <c r="N18" s="369"/>
      <c r="O18" s="197" t="s">
        <v>206</v>
      </c>
      <c r="P18" s="343"/>
      <c r="Q18" s="113" t="s">
        <v>209</v>
      </c>
      <c r="R18" s="362"/>
      <c r="S18" s="63" t="s">
        <v>258</v>
      </c>
      <c r="T18" s="343"/>
      <c r="U18" s="470"/>
      <c r="V18" s="344"/>
    </row>
    <row r="19" spans="1:22" s="312" customFormat="1" ht="15" customHeight="1" thickBot="1" x14ac:dyDescent="0.35">
      <c r="A19" s="339"/>
      <c r="B19" s="529"/>
      <c r="C19" s="440"/>
      <c r="D19" s="440"/>
      <c r="E19" s="352"/>
      <c r="F19" s="341"/>
      <c r="G19" s="370"/>
      <c r="H19" s="341"/>
      <c r="I19" s="364"/>
      <c r="J19" s="341"/>
      <c r="K19" s="367"/>
      <c r="L19" s="367"/>
      <c r="M19" s="367"/>
      <c r="N19" s="365"/>
      <c r="O19" s="366"/>
      <c r="P19" s="343"/>
      <c r="Q19" s="367"/>
      <c r="R19" s="343"/>
      <c r="S19" s="368"/>
      <c r="T19" s="343"/>
      <c r="U19" s="468"/>
      <c r="V19" s="344"/>
    </row>
    <row r="20" spans="1:22" ht="15" hidden="1" customHeight="1" x14ac:dyDescent="0.3">
      <c r="A20" s="339"/>
      <c r="B20" s="441"/>
      <c r="C20" s="371" t="s">
        <v>64</v>
      </c>
      <c r="D20" s="372"/>
      <c r="E20" s="373" t="str">
        <f>IF(SUM(E8:E18)&gt;0,SUM(E8:E18),"error")</f>
        <v>error</v>
      </c>
      <c r="F20" s="341"/>
      <c r="G20" s="374"/>
      <c r="H20" s="341"/>
      <c r="I20" s="375"/>
      <c r="J20" s="341"/>
      <c r="K20" s="361"/>
      <c r="L20" s="361"/>
      <c r="M20" s="361"/>
      <c r="N20" s="376"/>
      <c r="O20" s="366"/>
      <c r="P20" s="343"/>
      <c r="Q20" s="361"/>
      <c r="R20" s="362"/>
      <c r="S20" s="358"/>
      <c r="T20" s="343"/>
      <c r="U20" s="468"/>
      <c r="V20" s="461"/>
    </row>
    <row r="21" spans="1:22" ht="16.2" hidden="1" customHeight="1" thickBot="1" x14ac:dyDescent="0.35">
      <c r="A21" s="339"/>
      <c r="B21" s="441"/>
      <c r="C21" s="377"/>
      <c r="D21" s="377"/>
      <c r="E21" s="352"/>
      <c r="F21" s="341"/>
      <c r="G21" s="374"/>
      <c r="H21" s="341"/>
      <c r="I21" s="375"/>
      <c r="J21" s="341"/>
      <c r="K21" s="361"/>
      <c r="L21" s="361"/>
      <c r="M21" s="361"/>
      <c r="N21" s="362"/>
      <c r="O21" s="366"/>
      <c r="P21" s="343"/>
      <c r="Q21" s="361"/>
      <c r="R21" s="362"/>
      <c r="S21" s="358"/>
      <c r="T21" s="343"/>
      <c r="U21" s="378"/>
      <c r="V21" s="380"/>
    </row>
    <row r="22" spans="1:22" s="312" customFormat="1" ht="22.2" customHeight="1" x14ac:dyDescent="0.3">
      <c r="A22" s="339"/>
      <c r="B22" s="378"/>
      <c r="C22" s="379" t="s">
        <v>172</v>
      </c>
      <c r="D22" s="379"/>
      <c r="E22" s="379"/>
      <c r="F22" s="379"/>
      <c r="G22" s="378"/>
      <c r="H22" s="378"/>
      <c r="I22" s="378"/>
      <c r="J22" s="378"/>
      <c r="K22" s="378"/>
      <c r="L22" s="378"/>
      <c r="M22" s="378"/>
      <c r="N22" s="378"/>
      <c r="O22" s="379"/>
      <c r="P22" s="378"/>
      <c r="Q22" s="378"/>
      <c r="R22" s="378"/>
      <c r="S22" s="378"/>
      <c r="T22" s="378"/>
      <c r="U22" s="378"/>
      <c r="V22" s="380"/>
    </row>
    <row r="23" spans="1:22" s="312" customFormat="1" ht="6.75" customHeight="1" x14ac:dyDescent="0.3">
      <c r="A23" s="339"/>
      <c r="B23" s="525" t="s">
        <v>188</v>
      </c>
      <c r="C23" s="381"/>
      <c r="D23" s="381"/>
      <c r="E23" s="381"/>
      <c r="F23" s="382"/>
      <c r="G23" s="363"/>
      <c r="H23" s="382"/>
      <c r="I23" s="354"/>
      <c r="J23" s="382"/>
      <c r="K23" s="383"/>
      <c r="L23" s="360"/>
      <c r="M23" s="360"/>
      <c r="N23" s="383"/>
      <c r="O23" s="356"/>
      <c r="P23" s="328"/>
      <c r="Q23" s="357"/>
      <c r="R23" s="328"/>
      <c r="S23" s="358"/>
      <c r="T23" s="328"/>
      <c r="U23" s="468"/>
      <c r="V23" s="344"/>
    </row>
    <row r="24" spans="1:22" ht="15" customHeight="1" x14ac:dyDescent="0.3">
      <c r="A24" s="339"/>
      <c r="B24" s="526"/>
      <c r="C24" s="530" t="s">
        <v>179</v>
      </c>
      <c r="D24" s="530"/>
      <c r="E24" s="472">
        <v>0</v>
      </c>
      <c r="F24" s="382"/>
      <c r="G24" s="284" t="s">
        <v>265</v>
      </c>
      <c r="H24" s="341"/>
      <c r="I24" s="384">
        <v>0</v>
      </c>
      <c r="J24" s="341"/>
      <c r="K24" s="113" t="s">
        <v>208</v>
      </c>
      <c r="L24" s="360"/>
      <c r="M24" s="360"/>
      <c r="N24" s="385"/>
      <c r="O24" s="197" t="s">
        <v>206</v>
      </c>
      <c r="P24" s="328"/>
      <c r="Q24" s="113" t="s">
        <v>209</v>
      </c>
      <c r="R24" s="328"/>
      <c r="S24" s="63" t="s">
        <v>258</v>
      </c>
      <c r="T24" s="328"/>
      <c r="U24" s="470"/>
      <c r="V24" s="461"/>
    </row>
    <row r="25" spans="1:22" s="312" customFormat="1" ht="15" customHeight="1" x14ac:dyDescent="0.3">
      <c r="A25" s="339"/>
      <c r="B25" s="526"/>
      <c r="C25" s="442"/>
      <c r="D25" s="442"/>
      <c r="E25" s="381"/>
      <c r="F25" s="382"/>
      <c r="G25" s="363"/>
      <c r="H25" s="341"/>
      <c r="I25" s="364"/>
      <c r="J25" s="341"/>
      <c r="K25" s="360"/>
      <c r="L25" s="367"/>
      <c r="M25" s="367"/>
      <c r="N25" s="385"/>
      <c r="O25" s="366"/>
      <c r="P25" s="328"/>
      <c r="Q25" s="367"/>
      <c r="R25" s="328"/>
      <c r="S25" s="368"/>
      <c r="T25" s="328"/>
      <c r="U25" s="468"/>
      <c r="V25" s="344"/>
    </row>
    <row r="26" spans="1:22" ht="15" customHeight="1" x14ac:dyDescent="0.3">
      <c r="A26" s="339"/>
      <c r="B26" s="526"/>
      <c r="C26" s="530" t="s">
        <v>180</v>
      </c>
      <c r="D26" s="530"/>
      <c r="E26" s="472">
        <v>0</v>
      </c>
      <c r="F26" s="382"/>
      <c r="G26" s="284" t="s">
        <v>265</v>
      </c>
      <c r="H26" s="341"/>
      <c r="I26" s="384">
        <v>0</v>
      </c>
      <c r="J26" s="341"/>
      <c r="K26" s="113" t="s">
        <v>208</v>
      </c>
      <c r="L26" s="360"/>
      <c r="M26" s="360"/>
      <c r="N26" s="385"/>
      <c r="O26" s="197" t="s">
        <v>206</v>
      </c>
      <c r="P26" s="328"/>
      <c r="Q26" s="113" t="s">
        <v>209</v>
      </c>
      <c r="R26" s="328"/>
      <c r="S26" s="63" t="s">
        <v>258</v>
      </c>
      <c r="T26" s="328"/>
      <c r="U26" s="470"/>
      <c r="V26" s="461"/>
    </row>
    <row r="27" spans="1:22" s="312" customFormat="1" ht="15" customHeight="1" x14ac:dyDescent="0.3">
      <c r="A27" s="339"/>
      <c r="B27" s="526"/>
      <c r="C27" s="442"/>
      <c r="D27" s="442"/>
      <c r="E27" s="381"/>
      <c r="F27" s="382"/>
      <c r="G27" s="363"/>
      <c r="H27" s="341"/>
      <c r="I27" s="364"/>
      <c r="J27" s="341"/>
      <c r="K27" s="360"/>
      <c r="L27" s="360"/>
      <c r="M27" s="360"/>
      <c r="N27" s="385"/>
      <c r="O27" s="366"/>
      <c r="P27" s="328"/>
      <c r="Q27" s="367"/>
      <c r="R27" s="328"/>
      <c r="S27" s="368"/>
      <c r="T27" s="328"/>
      <c r="U27" s="468"/>
      <c r="V27" s="344"/>
    </row>
    <row r="28" spans="1:22" ht="15" customHeight="1" x14ac:dyDescent="0.3">
      <c r="A28" s="339"/>
      <c r="B28" s="526"/>
      <c r="C28" s="530" t="s">
        <v>181</v>
      </c>
      <c r="D28" s="530"/>
      <c r="E28" s="472">
        <v>0</v>
      </c>
      <c r="F28" s="382"/>
      <c r="G28" s="284" t="s">
        <v>265</v>
      </c>
      <c r="H28" s="341"/>
      <c r="I28" s="384">
        <v>0</v>
      </c>
      <c r="J28" s="341"/>
      <c r="K28" s="113" t="s">
        <v>208</v>
      </c>
      <c r="L28" s="367"/>
      <c r="M28" s="367"/>
      <c r="N28" s="385"/>
      <c r="O28" s="197" t="s">
        <v>206</v>
      </c>
      <c r="P28" s="328"/>
      <c r="Q28" s="113" t="s">
        <v>209</v>
      </c>
      <c r="R28" s="328"/>
      <c r="S28" s="63" t="s">
        <v>258</v>
      </c>
      <c r="T28" s="328"/>
      <c r="U28" s="470"/>
      <c r="V28" s="461"/>
    </row>
    <row r="29" spans="1:22" s="312" customFormat="1" ht="15" hidden="1" customHeight="1" x14ac:dyDescent="0.3">
      <c r="A29" s="339"/>
      <c r="B29" s="526"/>
      <c r="C29" s="328"/>
      <c r="D29" s="328"/>
      <c r="E29" s="343"/>
      <c r="F29" s="382"/>
      <c r="G29" s="374"/>
      <c r="H29" s="341"/>
      <c r="I29" s="364"/>
      <c r="J29" s="341"/>
      <c r="K29" s="367"/>
      <c r="L29" s="367"/>
      <c r="M29" s="367"/>
      <c r="N29" s="386"/>
      <c r="O29" s="366"/>
      <c r="P29" s="328"/>
      <c r="Q29" s="367"/>
      <c r="R29" s="328"/>
      <c r="S29" s="368"/>
      <c r="T29" s="328"/>
      <c r="U29" s="468"/>
      <c r="V29" s="344"/>
    </row>
    <row r="30" spans="1:22" ht="15" hidden="1" customHeight="1" x14ac:dyDescent="0.3">
      <c r="A30" s="339"/>
      <c r="B30" s="526"/>
      <c r="C30" s="442"/>
      <c r="D30" s="442"/>
      <c r="E30" s="352"/>
      <c r="F30" s="382"/>
      <c r="G30" s="374"/>
      <c r="H30" s="341"/>
      <c r="I30" s="375"/>
      <c r="J30" s="341"/>
      <c r="K30" s="361"/>
      <c r="L30" s="367"/>
      <c r="M30" s="367"/>
      <c r="N30" s="387"/>
      <c r="O30" s="366"/>
      <c r="P30" s="328"/>
      <c r="Q30" s="361"/>
      <c r="R30" s="328"/>
      <c r="S30" s="358"/>
      <c r="T30" s="328"/>
      <c r="U30" s="468"/>
      <c r="V30" s="461"/>
    </row>
    <row r="31" spans="1:22" ht="18.600000000000001" thickBot="1" x14ac:dyDescent="0.35">
      <c r="A31" s="388"/>
      <c r="B31" s="527"/>
      <c r="C31" s="389"/>
      <c r="D31" s="389"/>
      <c r="E31" s="390"/>
      <c r="F31" s="391"/>
      <c r="G31" s="392"/>
      <c r="H31" s="393"/>
      <c r="I31" s="394"/>
      <c r="J31" s="393"/>
      <c r="K31" s="395"/>
      <c r="L31" s="396"/>
      <c r="M31" s="396"/>
      <c r="N31" s="397"/>
      <c r="O31" s="398"/>
      <c r="P31" s="399"/>
      <c r="Q31" s="400"/>
      <c r="R31" s="399"/>
      <c r="S31" s="401"/>
      <c r="T31" s="399"/>
      <c r="U31" s="469"/>
      <c r="V31" s="462"/>
    </row>
    <row r="33" spans="1:5" ht="15.6" x14ac:dyDescent="0.3">
      <c r="A33" s="316"/>
      <c r="B33" s="316"/>
      <c r="C33" s="371" t="s">
        <v>211</v>
      </c>
      <c r="D33" s="372"/>
      <c r="E33" s="473">
        <f>SUM(E8,E10,E12,E14,E16,E18,E24,E26,E28)</f>
        <v>0</v>
      </c>
    </row>
  </sheetData>
  <sheetProtection sheet="1" objects="1" scenarios="1" formatCells="0" formatColumns="0" formatRows="0"/>
  <mergeCells count="15">
    <mergeCell ref="C10:D10"/>
    <mergeCell ref="Q4:Q5"/>
    <mergeCell ref="E4:E5"/>
    <mergeCell ref="G4:G5"/>
    <mergeCell ref="B23:B31"/>
    <mergeCell ref="C12:D12"/>
    <mergeCell ref="B8:B19"/>
    <mergeCell ref="C28:D28"/>
    <mergeCell ref="C24:D24"/>
    <mergeCell ref="C26:D26"/>
    <mergeCell ref="U4:U5"/>
    <mergeCell ref="K4:M4"/>
    <mergeCell ref="C4:D5"/>
    <mergeCell ref="S4:S5"/>
    <mergeCell ref="C8:D8"/>
  </mergeCells>
  <dataValidations count="3">
    <dataValidation allowBlank="1" showInputMessage="1" showErrorMessage="1" prompt="Indiqui si a l'explotació es realitza algun dels tractaments disponibles._x000a_No afecta al càlcul de les emissions, la dada quedarà a títol informatiu." sqref="U4:U5"/>
    <dataValidation type="whole" allowBlank="1" showInputMessage="1" showErrorMessage="1" sqref="E8 E10 E12 E14 E16 E18 E24 E26 E28">
      <formula1>0</formula1>
      <formula2>1000000</formula2>
    </dataValidation>
    <dataValidation type="list" allowBlank="1" showInputMessage="1" showErrorMessage="1" prompt="Destino del estiércol" sqref="K13">
      <formula1>#REF!</formula1>
    </dataValidation>
  </dataValidations>
  <pageMargins left="0.11811023622047245" right="0.11811023622047245" top="0.74803149606299213" bottom="0.74803149606299213" header="0.31496062992125984" footer="0.31496062992125984"/>
  <pageSetup paperSize="9" scale="47" orientation="landscape" r:id="rId1"/>
  <extLst>
    <ext xmlns:x14="http://schemas.microsoft.com/office/spreadsheetml/2009/9/main" uri="{78C0D931-6437-407d-A8EE-F0AAD7539E65}">
      <x14:conditionalFormattings>
        <x14:conditionalFormatting xmlns:xm="http://schemas.microsoft.com/office/excel/2006/main">
          <x14:cfRule type="expression" priority="30" id="{72F17868-0FED-4A1F-B830-71498EBF19C4}">
            <xm:f>$K8&lt;&gt;F.Distribució!$L$21</xm:f>
            <x14:dxf>
              <font>
                <color theme="0"/>
              </font>
              <fill>
                <patternFill>
                  <bgColor theme="0"/>
                </patternFill>
              </fill>
              <border>
                <vertical/>
                <horizontal/>
              </border>
            </x14:dxf>
          </x14:cfRule>
          <xm:sqref>O8</xm:sqref>
        </x14:conditionalFormatting>
        <x14:conditionalFormatting xmlns:xm="http://schemas.microsoft.com/office/excel/2006/main">
          <x14:cfRule type="expression" priority="27" id="{D3F9C9E4-E214-4FF0-818C-F3068B9121C9}">
            <xm:f>$K10&lt;&gt;F.Distribució!$L$21</xm:f>
            <x14:dxf>
              <font>
                <color theme="0"/>
              </font>
              <fill>
                <patternFill>
                  <bgColor theme="0"/>
                </patternFill>
              </fill>
              <border>
                <vertical/>
                <horizontal/>
              </border>
            </x14:dxf>
          </x14:cfRule>
          <xm:sqref>O10</xm:sqref>
        </x14:conditionalFormatting>
        <x14:conditionalFormatting xmlns:xm="http://schemas.microsoft.com/office/excel/2006/main">
          <x14:cfRule type="expression" priority="26" id="{1C96BFC5-CEF3-403E-A5E4-C5FFC24D7987}">
            <xm:f>$K12&lt;&gt;F.Distribució!$L$21</xm:f>
            <x14:dxf>
              <font>
                <color theme="0"/>
              </font>
              <fill>
                <patternFill>
                  <bgColor theme="0"/>
                </patternFill>
              </fill>
              <border>
                <vertical/>
                <horizontal/>
              </border>
            </x14:dxf>
          </x14:cfRule>
          <xm:sqref>O28 O26 O24 O14 O12</xm:sqref>
        </x14:conditionalFormatting>
        <x14:conditionalFormatting xmlns:xm="http://schemas.microsoft.com/office/excel/2006/main">
          <x14:cfRule type="expression" priority="25" id="{145D98CA-F77C-4C6E-AD72-7A549576D7CB}">
            <xm:f>$K8&lt;&gt;F.Distribució!$L$21</xm:f>
            <x14:dxf>
              <font>
                <color theme="0"/>
              </font>
              <fill>
                <patternFill>
                  <bgColor theme="0"/>
                </patternFill>
              </fill>
              <border>
                <vertical/>
                <horizontal/>
              </border>
            </x14:dxf>
          </x14:cfRule>
          <xm:sqref>Q8</xm:sqref>
        </x14:conditionalFormatting>
        <x14:conditionalFormatting xmlns:xm="http://schemas.microsoft.com/office/excel/2006/main">
          <x14:cfRule type="expression" priority="18" id="{C7AD2B37-D23E-4367-8D63-D503C5C9ECA4}">
            <xm:f>$K10&lt;&gt;F.Distribució!$L$21</xm:f>
            <x14:dxf>
              <font>
                <color theme="0"/>
              </font>
              <fill>
                <patternFill>
                  <bgColor theme="0"/>
                </patternFill>
              </fill>
              <border>
                <vertical/>
                <horizontal/>
              </border>
            </x14:dxf>
          </x14:cfRule>
          <xm:sqref>Q10</xm:sqref>
        </x14:conditionalFormatting>
        <x14:conditionalFormatting xmlns:xm="http://schemas.microsoft.com/office/excel/2006/main">
          <x14:cfRule type="expression" priority="17" id="{34E7B681-6B30-45F5-8AB8-526D038D6E18}">
            <xm:f>$K12&lt;&gt;F.Distribució!$L$21</xm:f>
            <x14:dxf>
              <font>
                <color theme="0"/>
              </font>
              <fill>
                <patternFill>
                  <bgColor theme="0"/>
                </patternFill>
              </fill>
              <border>
                <vertical/>
                <horizontal/>
              </border>
            </x14:dxf>
          </x14:cfRule>
          <xm:sqref>Q28 Q26 Q24 Q14 Q12</xm:sqref>
        </x14:conditionalFormatting>
        <x14:conditionalFormatting xmlns:xm="http://schemas.microsoft.com/office/excel/2006/main">
          <x14:cfRule type="expression" priority="5" id="{D60EA80D-C8A3-4EA8-8C20-BE6AA4E6618A}">
            <xm:f>AND($K16&lt;&gt;F.Distribució!$L$21,$M16&lt;&gt;F.Distribució!$L$21)</xm:f>
            <x14:dxf>
              <font>
                <color theme="0"/>
              </font>
              <fill>
                <patternFill>
                  <bgColor theme="0"/>
                </patternFill>
              </fill>
            </x14:dxf>
          </x14:cfRule>
          <xm:sqref>O16</xm:sqref>
        </x14:conditionalFormatting>
        <x14:conditionalFormatting xmlns:xm="http://schemas.microsoft.com/office/excel/2006/main">
          <x14:cfRule type="expression" priority="4" id="{8BEFF95F-7F29-4912-AAA2-B5E993624F75}">
            <xm:f>AND($K18&lt;&gt;F.Distribució!$L$21,$M18&lt;&gt;F.Distribució!$L$21)</xm:f>
            <x14:dxf>
              <font>
                <color theme="0"/>
              </font>
              <fill>
                <patternFill>
                  <bgColor theme="0"/>
                </patternFill>
              </fill>
            </x14:dxf>
          </x14:cfRule>
          <xm:sqref>O18</xm:sqref>
        </x14:conditionalFormatting>
        <x14:conditionalFormatting xmlns:xm="http://schemas.microsoft.com/office/excel/2006/main">
          <x14:cfRule type="expression" priority="2" id="{E855D995-C4B0-4F9F-B704-0D19DDB91E3C}">
            <xm:f>AND($K16&lt;&gt;F.Distribució!$L$21,$M16&lt;&gt;F.Distribució!$L$21)</xm:f>
            <x14:dxf>
              <font>
                <color theme="0"/>
              </font>
              <fill>
                <patternFill>
                  <bgColor theme="0"/>
                </patternFill>
              </fill>
            </x14:dxf>
          </x14:cfRule>
          <xm:sqref>Q16</xm:sqref>
        </x14:conditionalFormatting>
        <x14:conditionalFormatting xmlns:xm="http://schemas.microsoft.com/office/excel/2006/main">
          <x14:cfRule type="expression" priority="1" id="{27A869AB-7BD2-4E81-BC56-81E409CB02A3}">
            <xm:f>AND($K18&lt;&gt;F.Distribució!$L$21,$M18&lt;&gt;F.Distribució!$L$21)</xm:f>
            <x14:dxf>
              <font>
                <color theme="0"/>
              </font>
              <fill>
                <patternFill>
                  <bgColor theme="0"/>
                </patternFill>
              </fill>
            </x14:dxf>
          </x14:cfRule>
          <xm:sqref>Q18</xm:sqref>
        </x14:conditionalFormatting>
        <x14:conditionalFormatting xmlns:xm="http://schemas.microsoft.com/office/excel/2006/main">
          <x14:cfRule type="expression" priority="34" id="{8F9ED6F3-BF92-4B36-9B8C-2DAC75A5B802}">
            <xm:f>AND($K8&lt;&gt;F.Distribució!$L$23,$Q8&lt;&gt;F.Distribució!$L$23)</xm:f>
            <x14:dxf>
              <font>
                <color theme="0"/>
              </font>
              <fill>
                <patternFill>
                  <bgColor theme="0"/>
                </patternFill>
              </fill>
            </x14:dxf>
          </x14:cfRule>
          <xm:sqref>S26 S14 S24 S28 S12 S10 S8</xm:sqref>
        </x14:conditionalFormatting>
        <x14:conditionalFormatting xmlns:xm="http://schemas.microsoft.com/office/excel/2006/main">
          <x14:cfRule type="expression" priority="41" id="{4C593DD1-12E6-47EA-85F4-0CA049273DFF}">
            <xm:f>AND($K16&lt;&gt;F.Distribució!$L$23,$M16&lt;&gt;F.Distribució!$L$23,$Q16&lt;&gt;F.Distribució!$L$23)</xm:f>
            <x14:dxf>
              <font>
                <color theme="0"/>
              </font>
              <fill>
                <patternFill>
                  <bgColor theme="0"/>
                </patternFill>
              </fill>
            </x14:dxf>
          </x14:cfRule>
          <xm:sqref>S18 S16</xm:sqref>
        </x14:conditionalFormatting>
      </x14:conditionalFormattings>
    </ext>
    <ext xmlns:x14="http://schemas.microsoft.com/office/spreadsheetml/2009/9/main" uri="{CCE6A557-97BC-4b89-ADB6-D9C93CAAB3DF}">
      <x14:dataValidations xmlns:xm="http://schemas.microsoft.com/office/excel/2006/main" count="36">
        <x14:dataValidation type="list" allowBlank="1" showInputMessage="1" showErrorMessage="1" prompt="Tècnica utiltizada a l'allotjament d'animals i a l'evacuació de fems">
          <x14:formula1>
            <xm:f>F.Emissió!$B$25:$B$31</xm:f>
          </x14:formula1>
          <xm:sqref>G10 G8</xm:sqref>
        </x14:dataValidation>
        <x14:dataValidation type="list" allowBlank="1" showInputMessage="1" showErrorMessage="1" prompt="Técnica empleada en el Almacenamiento de estiércol">
          <x14:formula1>
            <xm:f>IF(K8=F.Distribució!$L$21,F.Emissió!$K$25:$K$26,"Escoli una opció")</xm:f>
          </x14:formula1>
          <xm:sqref>O8 O10</xm:sqref>
        </x14:dataValidation>
        <x14:dataValidation type="list" allowBlank="1" showInputMessage="1" showErrorMessage="1" prompt="Tècnica utiltizada a l'emmagatzematge dels fems">
          <x14:formula1>
            <xm:f>IF(K12=F.Distribució!$L$21,F.Emissió!$K$25:$K$26,"-")</xm:f>
          </x14:formula1>
          <xm:sqref>O28 O12 O14 O24 O26</xm:sqref>
        </x14:dataValidation>
        <x14:dataValidation type="list" allowBlank="1" showInputMessage="1" showErrorMessage="1" prompt="Tècnica utiltizada a l'emmagatzematge dels fems">
          <x14:formula1>
            <xm:f>IF(OR($K16=F.Distribució!$L$21,$M16=F.Distribució!$L$21),F.Emissió!$K$25:$K$26,"-")</xm:f>
          </x14:formula1>
          <xm:sqref>O18 O16</xm:sqref>
        </x14:dataValidation>
        <x14:dataValidation type="list" allowBlank="1" showInputMessage="1" showErrorMessage="1" prompt="Tècnica utiltizada a l'allotjament d'animals i a l'evacuació de fems">
          <x14:formula1>
            <xm:f>F.Emissió!$B$32:$B$40</xm:f>
          </x14:formula1>
          <xm:sqref>G28 G26 G24 G18 G16 G14 G12</xm:sqref>
        </x14:dataValidation>
        <x14:dataValidation type="list" allowBlank="1" showInputMessage="1" showErrorMessage="1" prompt="Destí dels fems">
          <x14:formula1>
            <xm:f>F.Distribució!$L$21:$L$22</xm:f>
          </x14:formula1>
          <xm:sqref>K8</xm:sqref>
        </x14:dataValidation>
        <x14:dataValidation type="list" allowBlank="1" showInputMessage="1" showErrorMessage="1" prompt="Destí dels fems">
          <x14:formula1>
            <xm:f>F.Distribució!$L$21:$L$22</xm:f>
          </x14:formula1>
          <xm:sqref>K10</xm:sqref>
        </x14:dataValidation>
        <x14:dataValidation type="list" allowBlank="1" showInputMessage="1" showErrorMessage="1" prompt="Destí dels fems">
          <x14:formula1>
            <xm:f>F.Distribució!$L$21:$L$22</xm:f>
          </x14:formula1>
          <xm:sqref>K12</xm:sqref>
        </x14:dataValidation>
        <x14:dataValidation type="list" allowBlank="1" showInputMessage="1" showErrorMessage="1" prompt="Destí dels fems">
          <x14:formula1>
            <xm:f>F.Distribució!$L$21:$L$22</xm:f>
          </x14:formula1>
          <xm:sqref>K14</xm:sqref>
        </x14:dataValidation>
        <x14:dataValidation type="list" allowBlank="1" showInputMessage="1" showErrorMessage="1" prompt="Destí dels fems">
          <x14:formula1>
            <xm:f>F.Distribució!$L$21:$L$22</xm:f>
          </x14:formula1>
          <xm:sqref>K16</xm:sqref>
        </x14:dataValidation>
        <x14:dataValidation type="list" allowBlank="1" showInputMessage="1" showErrorMessage="1" prompt="Destí dels fems">
          <x14:formula1>
            <xm:f>F.Distribució!$L$21:$L$22</xm:f>
          </x14:formula1>
          <xm:sqref>K18</xm:sqref>
        </x14:dataValidation>
        <x14:dataValidation type="list" allowBlank="1" showInputMessage="1" showErrorMessage="1" prompt="Destí dels fems">
          <x14:formula1>
            <xm:f>F.Distribució!$L$21:$L$22</xm:f>
          </x14:formula1>
          <xm:sqref>K24</xm:sqref>
        </x14:dataValidation>
        <x14:dataValidation type="list" allowBlank="1" showInputMessage="1" showErrorMessage="1" prompt="Destí dels fems">
          <x14:formula1>
            <xm:f>F.Distribució!$L$21:$L$22</xm:f>
          </x14:formula1>
          <xm:sqref>K26</xm:sqref>
        </x14:dataValidation>
        <x14:dataValidation type="list" allowBlank="1" showInputMessage="1" showErrorMessage="1" prompt="Destí dels fems">
          <x14:formula1>
            <xm:f>F.Distribució!$L$21:$L$22</xm:f>
          </x14:formula1>
          <xm:sqref>K28</xm:sqref>
        </x14:dataValidation>
        <x14:dataValidation type="list" allowBlank="1" showInputMessage="1" showErrorMessage="1" prompt="Destí dels fems">
          <x14:formula1>
            <xm:f>F.Distribució!$L$21:$L$22</xm:f>
          </x14:formula1>
          <xm:sqref>M16</xm:sqref>
        </x14:dataValidation>
        <x14:dataValidation type="list" allowBlank="1" showInputMessage="1" showErrorMessage="1" prompt="Destí dels fems">
          <x14:formula1>
            <xm:f>F.Distribució!$L$21:$L$22</xm:f>
          </x14:formula1>
          <xm:sqref>M18</xm:sqref>
        </x14:dataValidation>
        <x14:dataValidation type="list" allowBlank="1" showInputMessage="1" showErrorMessage="1" prompt="Técnica empleada en el Almacenamiento de estiércol">
          <x14:formula1>
            <xm:f>IF(K10=F.Distribució!$L$21,F.Distribució!$L$22:$L$23,"-")</xm:f>
          </x14:formula1>
          <xm:sqref>Q10</xm:sqref>
        </x14:dataValidation>
        <x14:dataValidation type="list" allowBlank="1" showInputMessage="1" showErrorMessage="1" prompt="Técnica empleada en el Almacenamiento de estiércol">
          <x14:formula1>
            <xm:f>IF(K8=F.Distribució!$L$21,F.Distribució!$L$22:$L$23,"-")</xm:f>
          </x14:formula1>
          <xm:sqref>Q8</xm:sqref>
        </x14:dataValidation>
        <x14:dataValidation type="list" allowBlank="1" showInputMessage="1" showErrorMessage="1" prompt="Destí dels fems">
          <x14:formula1>
            <xm:f>IF(OR($K16=F.Distribució!$L$21,$M16=F.Distribució!$L$21),F.Distribució!$L$22:$L$23,"-")</xm:f>
          </x14:formula1>
          <xm:sqref>Q16</xm:sqref>
        </x14:dataValidation>
        <x14:dataValidation type="list" allowBlank="1" showInputMessage="1" showErrorMessage="1" prompt="Destí dels fems">
          <x14:formula1>
            <xm:f>IF(OR($K18=F.Distribució!$L$21,$M18=F.Distribució!$L$21),F.Distribució!$L$22:$L$23,"-")</xm:f>
          </x14:formula1>
          <xm:sqref>Q18</xm:sqref>
        </x14:dataValidation>
        <x14:dataValidation type="list" allowBlank="1" showInputMessage="1" showErrorMessage="1" prompt="Destí dels fems">
          <x14:formula1>
            <xm:f>IF(K12=F.Distribució!$L$21,F.Distribució!$L$22:$L$23,"-")</xm:f>
          </x14:formula1>
          <xm:sqref>Q12</xm:sqref>
        </x14:dataValidation>
        <x14:dataValidation type="list" allowBlank="1" showInputMessage="1" showErrorMessage="1" prompt="Destí dels fems">
          <x14:formula1>
            <xm:f>IF(K24=F.Distribució!$L$21,F.Distribució!$L$22:$L$23,"-")</xm:f>
          </x14:formula1>
          <xm:sqref>Q24</xm:sqref>
        </x14:dataValidation>
        <x14:dataValidation type="list" allowBlank="1" showInputMessage="1" showErrorMessage="1" prompt="Destí dels fems">
          <x14:formula1>
            <xm:f>IF(K26=F.Distribució!$L$21,F.Distribució!$L$22:$L$23,"-")</xm:f>
          </x14:formula1>
          <xm:sqref>Q26</xm:sqref>
        </x14:dataValidation>
        <x14:dataValidation type="list" allowBlank="1" showInputMessage="1" showErrorMessage="1" prompt="Destí dels fems">
          <x14:formula1>
            <xm:f>IF(K28=F.Distribució!$L$21,F.Distribució!$L$22:$L$23,"-")</xm:f>
          </x14:formula1>
          <xm:sqref>Q28</xm:sqref>
        </x14:dataValidation>
        <x14:dataValidation type="list" allowBlank="1" showInputMessage="1" showErrorMessage="1" prompt="Destí dels fems">
          <x14:formula1>
            <xm:f>IF(K14=F.Distribució!$L$21,F.Distribució!$L$22:$L$23,"-")</xm:f>
          </x14:formula1>
          <xm:sqref>Q14</xm:sqref>
        </x14:dataValidation>
        <x14:dataValidation type="list" allowBlank="1" showInputMessage="1" showErrorMessage="1" prompt="Tècnica utiltizada a l'aplicació dels fems al camp">
          <x14:formula1>
            <xm:f>IF(OR($K28=F.Distribució!$L$23,$Q28=F.Distribució!$L$23),F.Emissió!$K$34:$K$38,"-")</xm:f>
          </x14:formula1>
          <xm:sqref>S28</xm:sqref>
        </x14:dataValidation>
        <x14:dataValidation type="list" allowBlank="1" showInputMessage="1" showErrorMessage="1" prompt="Tècnica utiltizada a l'aplicació dels fems al camp">
          <x14:formula1>
            <xm:f>IF(OR($K8=F.Distribució!$L$23,$Q8=F.Distribució!$L$23),F.Emissió!$K$34:$K$38,"-")</xm:f>
          </x14:formula1>
          <xm:sqref>S8</xm:sqref>
        </x14:dataValidation>
        <x14:dataValidation type="list" allowBlank="1" showInputMessage="1" showErrorMessage="1" prompt="Tècnica utiltizada a l'aplicació dels fems al camp">
          <x14:formula1>
            <xm:f>IF(OR($K10=F.Distribució!$L$23,$Q10=F.Distribució!$L$23),F.Emissió!$K$34:$K$38,"-")</xm:f>
          </x14:formula1>
          <xm:sqref>S10</xm:sqref>
        </x14:dataValidation>
        <x14:dataValidation type="list" allowBlank="1" showInputMessage="1" showErrorMessage="1" prompt="Tècnica utiltizada a l'aplicació dels fems al camp">
          <x14:formula1>
            <xm:f>IF(OR($K12=F.Distribució!$L$23,$Q12=F.Distribució!$L$23),F.Emissió!$K$34:$K$38,"-")</xm:f>
          </x14:formula1>
          <xm:sqref>S12</xm:sqref>
        </x14:dataValidation>
        <x14:dataValidation type="list" allowBlank="1" showInputMessage="1" showErrorMessage="1" prompt="Tècnica utiltizada a l'aplicació dels fems al camp">
          <x14:formula1>
            <xm:f>IF(OR($K14=F.Distribució!$L$23,$Q14=F.Distribució!$L$23),F.Emissió!$K$34:$K$38,"-")</xm:f>
          </x14:formula1>
          <xm:sqref>S14</xm:sqref>
        </x14:dataValidation>
        <x14:dataValidation type="list" allowBlank="1" showInputMessage="1" showErrorMessage="1" prompt="Tècnica utiltizada a l'aplicació dels fems al camp">
          <x14:formula1>
            <xm:f>IF(OR($K18=F.Distribució!$L$23,$Q18=F.Distribució!$L$23),F.Emissió!$K$34:$K$38,"-")</xm:f>
          </x14:formula1>
          <xm:sqref>S18</xm:sqref>
        </x14:dataValidation>
        <x14:dataValidation type="list" allowBlank="1" showInputMessage="1" showErrorMessage="1" prompt="Tècnica utiltizada a l'aplicació dels fems al camp">
          <x14:formula1>
            <xm:f>IF(OR($K24=F.Distribució!$L$23,$Q24=F.Distribució!$L$23),F.Emissió!$K$34:$K$38,"-")</xm:f>
          </x14:formula1>
          <xm:sqref>S24</xm:sqref>
        </x14:dataValidation>
        <x14:dataValidation type="list" allowBlank="1" showInputMessage="1" showErrorMessage="1" prompt="Tècnica utiltizada a l'aplicació dels fems al camp">
          <x14:formula1>
            <xm:f>IF(OR($K26=F.Distribució!$L$23,$Q26=F.Distribució!$L$23),F.Emissió!$K$34:$K$38,"-")</xm:f>
          </x14:formula1>
          <xm:sqref>S26</xm:sqref>
        </x14:dataValidation>
        <x14:dataValidation type="list" allowBlank="1" showInputMessage="1" showErrorMessage="1" prompt="Tècnica utiltizada a l'aplicació dels fems al camp">
          <x14:formula1>
            <xm:f>IF(OR($K16=F.Distribució!$L$23,$M16=F.Distribució!$L$23,$Q16=F.Distribució!$L$23),F.Emissió!$K$34:$K$38,"-")</xm:f>
          </x14:formula1>
          <xm:sqref>S16</xm:sqref>
        </x14:dataValidation>
        <x14:dataValidation type="list" allowBlank="1" showInputMessage="1" showErrorMessage="1">
          <x14:formula1>
            <xm:f>F.Emissió!$K$43:$K$48</xm:f>
          </x14:formula1>
          <xm:sqref>U26 U28 U12 U14 U16 U18 U24</xm:sqref>
        </x14:dataValidation>
        <x14:dataValidation type="list" allowBlank="1" showInputMessage="1" showErrorMessage="1">
          <x14:formula1>
            <xm:f>F.Emissió!$K$43:$K$49</xm:f>
          </x14:formula1>
          <xm:sqref>U10 U8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3">
    <tabColor theme="8" tint="0.39997558519241921"/>
    <pageSetUpPr fitToPage="1"/>
  </sheetPr>
  <dimension ref="A1:L47"/>
  <sheetViews>
    <sheetView zoomScale="85" zoomScaleNormal="85" workbookViewId="0">
      <pane xSplit="1" ySplit="8" topLeftCell="B9" activePane="bottomRight" state="frozen"/>
      <selection pane="topRight" activeCell="B1" sqref="B1"/>
      <selection pane="bottomLeft" activeCell="A9" sqref="A9"/>
      <selection pane="bottomRight" activeCell="C4" sqref="C4:D4"/>
    </sheetView>
  </sheetViews>
  <sheetFormatPr defaultRowHeight="14.4" x14ac:dyDescent="0.3"/>
  <cols>
    <col min="1" max="1" width="13.44140625" customWidth="1"/>
    <col min="2" max="2" width="17.33203125" customWidth="1"/>
    <col min="3" max="3" width="16.109375" customWidth="1"/>
    <col min="4" max="4" width="16.5546875" customWidth="1"/>
    <col min="5" max="5" width="15.6640625" customWidth="1"/>
    <col min="6" max="6" width="11.88671875" customWidth="1"/>
    <col min="7" max="7" width="13.21875" customWidth="1"/>
    <col min="8" max="8" width="13.88671875" customWidth="1"/>
    <col min="9" max="9" width="5" customWidth="1"/>
    <col min="12" max="12" width="23" customWidth="1"/>
  </cols>
  <sheetData>
    <row r="1" spans="1:12" ht="6" customHeight="1" x14ac:dyDescent="0.3">
      <c r="A1" s="249"/>
      <c r="B1" s="249"/>
      <c r="C1" s="249"/>
      <c r="D1" s="249"/>
      <c r="E1" s="249"/>
      <c r="F1" s="249"/>
      <c r="G1" s="249"/>
      <c r="H1" s="249"/>
      <c r="I1" s="249"/>
    </row>
    <row r="2" spans="1:12" ht="27.6" x14ac:dyDescent="0.65">
      <c r="A2" s="250" t="s">
        <v>245</v>
      </c>
      <c r="B2" s="251"/>
      <c r="C2" s="251"/>
      <c r="D2" s="251"/>
      <c r="E2" s="252"/>
      <c r="F2" s="252"/>
      <c r="G2" s="249"/>
      <c r="H2" s="249"/>
      <c r="I2" s="249"/>
    </row>
    <row r="3" spans="1:12" ht="21.6" customHeight="1" x14ac:dyDescent="0.3">
      <c r="A3" s="281" t="s">
        <v>356</v>
      </c>
      <c r="B3" s="282"/>
      <c r="C3" s="282"/>
      <c r="D3" s="249"/>
      <c r="E3" s="249"/>
      <c r="F3" s="249"/>
      <c r="G3" s="249"/>
      <c r="H3" s="249"/>
      <c r="I3" s="249"/>
    </row>
    <row r="4" spans="1:12" x14ac:dyDescent="0.3">
      <c r="A4" s="249"/>
      <c r="B4" s="411" t="s">
        <v>217</v>
      </c>
      <c r="C4" s="535">
        <f>Dades_Id_expl!D7</f>
        <v>0</v>
      </c>
      <c r="D4" s="536"/>
      <c r="E4" s="249" t="str">
        <f>IF(C4=0,"ERROR: Indiqui la Marca Oficial al full 'Dades_Id_expl'","")</f>
        <v>ERROR: Indiqui la Marca Oficial al full 'Dades_Id_expl'</v>
      </c>
      <c r="F4" s="249"/>
      <c r="G4" s="249"/>
      <c r="H4" s="249"/>
      <c r="I4" s="249"/>
    </row>
    <row r="5" spans="1:12" x14ac:dyDescent="0.3">
      <c r="A5" s="249"/>
      <c r="B5" s="253" t="s">
        <v>183</v>
      </c>
      <c r="C5" s="537">
        <f>Dades_Id_expl!D9</f>
        <v>0</v>
      </c>
      <c r="D5" s="538"/>
      <c r="E5" s="249" t="str">
        <f>IF(C5=0,"ERROR: Indiqui l'identificador IDQA al full 'Dades_Id_expl'","")</f>
        <v>ERROR: Indiqui l'identificador IDQA al full 'Dades_Id_expl'</v>
      </c>
      <c r="F5" s="249"/>
      <c r="G5" s="249"/>
      <c r="H5" s="249"/>
      <c r="I5" s="249"/>
      <c r="K5" s="139"/>
    </row>
    <row r="6" spans="1:12" x14ac:dyDescent="0.3">
      <c r="A6" s="249"/>
      <c r="B6" s="253" t="s">
        <v>184</v>
      </c>
      <c r="C6" s="537">
        <f>Dades_Id_expl!D11</f>
        <v>2020</v>
      </c>
      <c r="D6" s="538"/>
      <c r="E6" s="249" t="str">
        <f>IF(C6=0,"ERROR: Indiqui l'any al que fan referència les dades","")</f>
        <v/>
      </c>
      <c r="F6" s="249"/>
      <c r="G6" s="249"/>
      <c r="H6" s="249"/>
      <c r="I6" s="249"/>
      <c r="K6" s="139"/>
    </row>
    <row r="7" spans="1:12" x14ac:dyDescent="0.3">
      <c r="A7" s="249"/>
      <c r="B7" s="253" t="s">
        <v>185</v>
      </c>
      <c r="C7" s="537">
        <f>Dades_Id_expl!D13</f>
        <v>0</v>
      </c>
      <c r="D7" s="538"/>
      <c r="E7" s="249" t="str">
        <f>IF(C7=0,"ERROR: Indiqui el nom de l'explotació al full 'Dades_Id_expl'","")</f>
        <v>ERROR: Indiqui el nom de l'explotació al full 'Dades_Id_expl'</v>
      </c>
      <c r="F7" s="249"/>
      <c r="G7" s="249"/>
      <c r="H7" s="249"/>
      <c r="I7" s="249"/>
      <c r="K7" s="139"/>
    </row>
    <row r="8" spans="1:12" x14ac:dyDescent="0.3">
      <c r="A8" s="249"/>
      <c r="B8" s="253" t="s">
        <v>186</v>
      </c>
      <c r="C8" s="537">
        <f>Dades_Id_expl!D15</f>
        <v>0</v>
      </c>
      <c r="D8" s="538"/>
      <c r="E8" s="249" t="str">
        <f>IF(C8=0,"ERROR: Indiqui el nom del titular al full 'Dades_Id_expl'","")</f>
        <v>ERROR: Indiqui el nom del titular al full 'Dades_Id_expl'</v>
      </c>
      <c r="F8" s="249"/>
      <c r="G8" s="249"/>
      <c r="H8" s="249"/>
      <c r="I8" s="249"/>
      <c r="K8" s="15"/>
    </row>
    <row r="9" spans="1:12" s="255" customFormat="1" ht="21.45" customHeight="1" x14ac:dyDescent="0.3">
      <c r="A9" s="254"/>
      <c r="B9" s="254"/>
      <c r="C9" s="254"/>
      <c r="D9" s="254"/>
      <c r="E9" s="254"/>
      <c r="F9" s="254"/>
      <c r="G9" s="254"/>
      <c r="H9" s="254"/>
      <c r="I9" s="254"/>
      <c r="K9" s="256"/>
    </row>
    <row r="10" spans="1:12" ht="15.6" x14ac:dyDescent="0.3">
      <c r="A10" s="257" t="s">
        <v>218</v>
      </c>
      <c r="B10" s="257" t="s">
        <v>219</v>
      </c>
      <c r="C10" s="258"/>
      <c r="D10" s="258"/>
      <c r="E10" s="249"/>
      <c r="F10" s="249"/>
      <c r="G10" s="249"/>
      <c r="H10" s="249"/>
      <c r="I10" s="249"/>
      <c r="K10" s="15"/>
      <c r="L10" s="255"/>
    </row>
    <row r="11" spans="1:12" ht="31.95" customHeight="1" x14ac:dyDescent="0.3">
      <c r="A11" s="257"/>
      <c r="B11" s="531" t="s">
        <v>278</v>
      </c>
      <c r="C11" s="531"/>
      <c r="D11" s="531"/>
      <c r="E11" s="531"/>
      <c r="F11" s="531"/>
      <c r="G11" s="531"/>
      <c r="H11" s="249"/>
      <c r="I11" s="249"/>
      <c r="K11" s="15"/>
      <c r="L11" s="255"/>
    </row>
    <row r="12" spans="1:12" x14ac:dyDescent="0.3">
      <c r="A12" s="249"/>
      <c r="B12" s="249"/>
      <c r="C12" s="249"/>
      <c r="D12" s="249"/>
      <c r="E12" s="249"/>
      <c r="F12" s="249"/>
      <c r="G12" s="249"/>
      <c r="H12" s="249"/>
      <c r="I12" s="249"/>
      <c r="K12" s="15"/>
      <c r="L12" s="255"/>
    </row>
    <row r="13" spans="1:12" ht="46.8" x14ac:dyDescent="0.3">
      <c r="A13" s="249"/>
      <c r="B13" s="259" t="s">
        <v>220</v>
      </c>
      <c r="C13" s="260" t="s">
        <v>221</v>
      </c>
      <c r="D13" s="261" t="s">
        <v>222</v>
      </c>
      <c r="E13" s="195"/>
      <c r="F13" s="195"/>
      <c r="G13" s="203"/>
      <c r="H13" s="249"/>
      <c r="I13" s="249"/>
      <c r="K13" s="15"/>
      <c r="L13" s="255"/>
    </row>
    <row r="14" spans="1:12" x14ac:dyDescent="0.3">
      <c r="A14" s="249"/>
      <c r="B14" s="280">
        <f>Càlculs!BM30</f>
        <v>0</v>
      </c>
      <c r="C14" s="262">
        <f>Càlculs!BM13</f>
        <v>0</v>
      </c>
      <c r="D14" s="301">
        <f>B14-C14</f>
        <v>0</v>
      </c>
      <c r="E14" s="263" t="s">
        <v>244</v>
      </c>
      <c r="F14" s="263"/>
      <c r="G14" s="207"/>
      <c r="H14" s="249"/>
      <c r="I14" s="249"/>
      <c r="K14" s="15"/>
      <c r="L14" s="255"/>
    </row>
    <row r="15" spans="1:12" s="255" customFormat="1" ht="21.45" customHeight="1" x14ac:dyDescent="0.3">
      <c r="A15" s="254"/>
      <c r="B15" s="254"/>
      <c r="C15" s="254"/>
      <c r="D15" s="254"/>
      <c r="E15" s="254"/>
      <c r="F15" s="254"/>
      <c r="G15" s="254"/>
      <c r="H15" s="254"/>
      <c r="I15" s="254"/>
      <c r="J15"/>
      <c r="K15" s="15"/>
    </row>
    <row r="16" spans="1:12" ht="18" x14ac:dyDescent="0.4">
      <c r="A16" s="257" t="s">
        <v>223</v>
      </c>
      <c r="B16" s="257" t="s">
        <v>242</v>
      </c>
      <c r="C16" s="257"/>
      <c r="D16" s="257"/>
      <c r="E16" s="249"/>
      <c r="F16" s="249"/>
      <c r="G16" s="249"/>
      <c r="H16" s="249"/>
      <c r="I16" s="249"/>
    </row>
    <row r="17" spans="1:12" ht="30" customHeight="1" x14ac:dyDescent="0.3">
      <c r="A17" s="257"/>
      <c r="B17" s="531" t="s">
        <v>224</v>
      </c>
      <c r="C17" s="531"/>
      <c r="D17" s="531"/>
      <c r="E17" s="531"/>
      <c r="F17" s="531"/>
      <c r="G17" s="531"/>
      <c r="H17" s="249"/>
      <c r="I17" s="249"/>
    </row>
    <row r="18" spans="1:12" ht="28.8" x14ac:dyDescent="0.55000000000000004">
      <c r="A18" s="249"/>
      <c r="B18" s="264" t="s">
        <v>225</v>
      </c>
      <c r="C18" s="265" t="s">
        <v>243</v>
      </c>
      <c r="D18" s="265" t="s">
        <v>226</v>
      </c>
      <c r="E18" s="265" t="s">
        <v>227</v>
      </c>
      <c r="F18" s="266" t="s">
        <v>228</v>
      </c>
      <c r="G18" s="195"/>
      <c r="H18" s="203"/>
      <c r="I18" s="249"/>
      <c r="J18" s="277"/>
    </row>
    <row r="19" spans="1:12" x14ac:dyDescent="0.3">
      <c r="A19" s="249"/>
      <c r="B19" s="267">
        <f>Càlculs!AC13*(17/14)</f>
        <v>0</v>
      </c>
      <c r="C19" s="278">
        <f>Càlculs!V13*(17/14)</f>
        <v>0</v>
      </c>
      <c r="D19" s="278">
        <f>Càlculs!AP13*(17/14)</f>
        <v>0</v>
      </c>
      <c r="E19" s="278">
        <f>Càlculs!BA13*(17/14)</f>
        <v>0</v>
      </c>
      <c r="F19" s="268">
        <f>SUM(B19:E19)</f>
        <v>0</v>
      </c>
      <c r="G19" s="263" t="s">
        <v>229</v>
      </c>
      <c r="H19" s="207"/>
      <c r="I19" s="249"/>
      <c r="J19" s="255"/>
      <c r="L19" s="138"/>
    </row>
    <row r="20" spans="1:12" s="255" customFormat="1" ht="21.45" customHeight="1" x14ac:dyDescent="0.3">
      <c r="A20" s="254"/>
      <c r="B20" s="254"/>
      <c r="C20" s="254"/>
      <c r="D20" s="254"/>
      <c r="E20" s="254"/>
      <c r="F20" s="254"/>
      <c r="G20" s="254"/>
      <c r="H20" s="254"/>
      <c r="I20" s="254"/>
    </row>
    <row r="21" spans="1:12" ht="15.6" x14ac:dyDescent="0.3">
      <c r="A21" s="257" t="s">
        <v>239</v>
      </c>
      <c r="B21" s="257" t="s">
        <v>238</v>
      </c>
      <c r="C21" s="257"/>
      <c r="D21" s="257"/>
      <c r="E21" s="249"/>
      <c r="F21" s="249"/>
      <c r="G21" s="249"/>
      <c r="H21" s="249"/>
      <c r="I21" s="249"/>
    </row>
    <row r="22" spans="1:12" ht="33.6" customHeight="1" thickBot="1" x14ac:dyDescent="0.35">
      <c r="A22" s="257"/>
      <c r="B22" s="531" t="s">
        <v>307</v>
      </c>
      <c r="C22" s="531"/>
      <c r="D22" s="531"/>
      <c r="E22" s="531"/>
      <c r="F22" s="531"/>
      <c r="G22" s="531"/>
      <c r="H22" s="249"/>
      <c r="I22" s="249"/>
    </row>
    <row r="23" spans="1:12" ht="42.6" customHeight="1" x14ac:dyDescent="0.3">
      <c r="A23" s="249"/>
      <c r="B23" s="269" t="s">
        <v>230</v>
      </c>
      <c r="C23" s="270" t="s">
        <v>369</v>
      </c>
      <c r="D23" s="270" t="s">
        <v>368</v>
      </c>
      <c r="E23" s="271" t="s">
        <v>231</v>
      </c>
      <c r="F23" s="249"/>
      <c r="G23" s="272"/>
      <c r="H23" s="258"/>
      <c r="I23" s="258"/>
      <c r="J23" s="255"/>
      <c r="K23" s="255"/>
    </row>
    <row r="24" spans="1:12" ht="17.399999999999999" customHeight="1" x14ac:dyDescent="0.3">
      <c r="A24" s="249"/>
      <c r="B24" s="482" t="s">
        <v>247</v>
      </c>
      <c r="C24" s="196" t="str">
        <f>IF(Dades!E10=0,"0",(Càlculs!AC5*17/14)/Dades!E10)</f>
        <v>0</v>
      </c>
      <c r="D24" s="61" t="s">
        <v>240</v>
      </c>
      <c r="E24" s="273" t="str">
        <f>IF(C24="0","(no aplica)",(IF(C24&lt;=0.08,"correcte","Supera NEA")))</f>
        <v>(no aplica)</v>
      </c>
      <c r="F24" s="249"/>
      <c r="G24" s="249"/>
      <c r="H24" s="249"/>
      <c r="I24" s="249"/>
      <c r="J24" s="255"/>
      <c r="K24" s="255"/>
    </row>
    <row r="25" spans="1:12" ht="23.4" customHeight="1" x14ac:dyDescent="0.3">
      <c r="A25" s="249"/>
      <c r="B25" s="482" t="s">
        <v>248</v>
      </c>
      <c r="C25" s="196" t="str">
        <f>IF(Dades!E14=0,"0",(Càlculs!AC7*17/14)/Dades!E14)</f>
        <v>0</v>
      </c>
      <c r="D25" s="61" t="s">
        <v>250</v>
      </c>
      <c r="E25" s="273" t="str">
        <f>IF(C25="0","(no aplica)",(IF(C25&lt;=0.13,"correcte","Supera NEA")))</f>
        <v>(no aplica)</v>
      </c>
      <c r="F25" s="249"/>
      <c r="G25" s="249"/>
      <c r="H25" s="249"/>
      <c r="I25" s="249"/>
      <c r="J25" s="255"/>
      <c r="K25" s="255"/>
    </row>
    <row r="26" spans="1:12" ht="22.2" customHeight="1" x14ac:dyDescent="0.3">
      <c r="A26" s="249"/>
      <c r="B26" s="482" t="s">
        <v>249</v>
      </c>
      <c r="C26" s="196" t="str">
        <f>IF(Dades!E18=0,"0",(Càlculs!AC9*17/14)/Dades!E18)</f>
        <v>0</v>
      </c>
      <c r="D26" s="61" t="s">
        <v>250</v>
      </c>
      <c r="E26" s="273" t="str">
        <f>IF(C26="0","(no aplica)",(IF(C26&lt;=0.13,"correcte","Supera NEA")))</f>
        <v>(no aplica)</v>
      </c>
      <c r="F26" s="249"/>
      <c r="G26" s="249"/>
      <c r="H26" s="249"/>
      <c r="I26" s="249"/>
      <c r="J26" s="255"/>
      <c r="K26" s="255"/>
    </row>
    <row r="27" spans="1:12" ht="20.399999999999999" customHeight="1" thickBot="1" x14ac:dyDescent="0.35">
      <c r="A27" s="249"/>
      <c r="B27" s="483" t="s">
        <v>237</v>
      </c>
      <c r="C27" s="484" t="str">
        <f>IF(Dades!E24=0,"0",(Càlculs!AC10*17/14)/Dades!E24)</f>
        <v>0</v>
      </c>
      <c r="D27" s="274" t="s">
        <v>241</v>
      </c>
      <c r="E27" s="275" t="str">
        <f>IF(C27="0","(no aplica)",(IF(C27&lt;=0.08,"correcte","Supera NEA")))</f>
        <v>(no aplica)</v>
      </c>
      <c r="F27" s="249"/>
      <c r="G27" s="258"/>
      <c r="H27" s="258"/>
      <c r="I27" s="258"/>
      <c r="J27" s="255"/>
      <c r="K27" s="255"/>
    </row>
    <row r="28" spans="1:12" ht="43.8" customHeight="1" x14ac:dyDescent="0.3">
      <c r="A28" s="249"/>
      <c r="B28" s="532" t="s">
        <v>357</v>
      </c>
      <c r="C28" s="533"/>
      <c r="D28" s="533"/>
      <c r="E28" s="534"/>
      <c r="F28" s="249"/>
      <c r="G28" s="258"/>
      <c r="H28" s="258"/>
      <c r="I28" s="258"/>
      <c r="J28" s="255"/>
      <c r="K28" s="255"/>
    </row>
    <row r="29" spans="1:12" s="255" customFormat="1" ht="21.45" customHeight="1" x14ac:dyDescent="0.3">
      <c r="A29" s="254"/>
      <c r="B29" s="303"/>
      <c r="C29" s="303"/>
      <c r="D29" s="303"/>
      <c r="E29" s="303"/>
      <c r="F29" s="303"/>
      <c r="G29" s="254"/>
      <c r="H29" s="254"/>
      <c r="I29" s="254"/>
    </row>
    <row r="30" spans="1:12" ht="15.6" x14ac:dyDescent="0.3">
      <c r="A30" s="257" t="s">
        <v>232</v>
      </c>
      <c r="B30" s="257" t="s">
        <v>358</v>
      </c>
      <c r="C30" s="304"/>
      <c r="D30" s="305"/>
      <c r="E30" s="305"/>
      <c r="F30" s="249"/>
      <c r="G30" s="258"/>
      <c r="H30" s="258"/>
      <c r="I30" s="258"/>
      <c r="J30" s="255"/>
      <c r="K30" s="255"/>
    </row>
    <row r="31" spans="1:12" ht="16.2" thickBot="1" x14ac:dyDescent="0.35">
      <c r="A31" s="257"/>
      <c r="B31" s="306" t="s">
        <v>279</v>
      </c>
      <c r="C31" s="304"/>
      <c r="D31" s="305"/>
      <c r="E31" s="305"/>
      <c r="F31" s="249"/>
      <c r="G31" s="258"/>
      <c r="H31" s="258"/>
      <c r="I31" s="258"/>
      <c r="J31" s="255"/>
      <c r="K31" s="255"/>
    </row>
    <row r="32" spans="1:12" ht="24.6" x14ac:dyDescent="0.3">
      <c r="A32" s="257"/>
      <c r="B32" s="307" t="s">
        <v>230</v>
      </c>
      <c r="C32" s="308"/>
      <c r="D32" s="309" t="s">
        <v>367</v>
      </c>
      <c r="E32" s="305"/>
      <c r="F32" s="249"/>
      <c r="G32" s="258"/>
      <c r="H32" s="258"/>
      <c r="I32" s="258"/>
      <c r="J32" s="255"/>
      <c r="K32" s="255"/>
    </row>
    <row r="33" spans="1:11" ht="15.6" x14ac:dyDescent="0.3">
      <c r="A33" s="257"/>
      <c r="B33" s="302" t="s">
        <v>173</v>
      </c>
      <c r="C33" s="196"/>
      <c r="D33" s="273">
        <f>Càlculs!BP4</f>
        <v>0</v>
      </c>
      <c r="E33" s="305"/>
      <c r="F33" s="249"/>
      <c r="G33" s="258"/>
      <c r="H33" s="258"/>
      <c r="I33" s="258"/>
      <c r="J33" s="255"/>
      <c r="K33" s="255"/>
    </row>
    <row r="34" spans="1:11" ht="15.6" x14ac:dyDescent="0.3">
      <c r="A34" s="257"/>
      <c r="B34" s="302" t="s">
        <v>176</v>
      </c>
      <c r="C34" s="289"/>
      <c r="D34" s="273">
        <f>Càlculs!BP5</f>
        <v>0</v>
      </c>
      <c r="E34" s="305"/>
      <c r="F34" s="249"/>
      <c r="G34" s="258"/>
      <c r="H34" s="258"/>
      <c r="I34" s="258"/>
      <c r="J34" s="255"/>
      <c r="K34" s="255"/>
    </row>
    <row r="35" spans="1:11" ht="15.6" x14ac:dyDescent="0.3">
      <c r="A35" s="257"/>
      <c r="B35" s="302" t="s">
        <v>174</v>
      </c>
      <c r="C35" s="6"/>
      <c r="D35" s="273">
        <f>Càlculs!BP6</f>
        <v>0</v>
      </c>
      <c r="E35" s="305"/>
      <c r="F35" s="249"/>
      <c r="G35" s="258"/>
      <c r="H35" s="258"/>
      <c r="I35" s="258"/>
      <c r="J35" s="255"/>
      <c r="K35" s="255"/>
    </row>
    <row r="36" spans="1:11" ht="15.6" x14ac:dyDescent="0.3">
      <c r="A36" s="257"/>
      <c r="B36" s="302" t="s">
        <v>177</v>
      </c>
      <c r="C36" s="6"/>
      <c r="D36" s="273">
        <f>Càlculs!BP7</f>
        <v>0</v>
      </c>
      <c r="E36" s="305"/>
      <c r="F36" s="249"/>
      <c r="G36" s="258"/>
      <c r="H36" s="258"/>
      <c r="I36" s="258"/>
      <c r="J36" s="255"/>
      <c r="K36" s="255"/>
    </row>
    <row r="37" spans="1:11" ht="15.6" x14ac:dyDescent="0.3">
      <c r="A37" s="257"/>
      <c r="B37" s="302" t="s">
        <v>175</v>
      </c>
      <c r="C37" s="6"/>
      <c r="D37" s="273">
        <f>Càlculs!BP8</f>
        <v>0</v>
      </c>
      <c r="E37" s="305"/>
      <c r="F37" s="249"/>
      <c r="G37" s="258"/>
      <c r="H37" s="258"/>
      <c r="I37" s="258"/>
      <c r="J37" s="255"/>
      <c r="K37" s="255"/>
    </row>
    <row r="38" spans="1:11" ht="15.6" x14ac:dyDescent="0.3">
      <c r="A38" s="257"/>
      <c r="B38" s="302" t="s">
        <v>178</v>
      </c>
      <c r="C38" s="6"/>
      <c r="D38" s="273">
        <f>Càlculs!BP9</f>
        <v>0</v>
      </c>
      <c r="E38" s="305"/>
      <c r="F38" s="249"/>
      <c r="G38" s="258"/>
      <c r="H38" s="258"/>
      <c r="I38" s="258"/>
      <c r="J38" s="255"/>
      <c r="K38" s="255"/>
    </row>
    <row r="39" spans="1:11" ht="15.6" x14ac:dyDescent="0.3">
      <c r="A39" s="257"/>
      <c r="B39" s="302" t="s">
        <v>179</v>
      </c>
      <c r="C39" s="6"/>
      <c r="D39" s="273">
        <f>Càlculs!BP10</f>
        <v>0</v>
      </c>
      <c r="E39" s="305"/>
      <c r="F39" s="249"/>
      <c r="G39" s="258"/>
      <c r="H39" s="258"/>
      <c r="I39" s="258"/>
      <c r="J39" s="255"/>
      <c r="K39" s="255"/>
    </row>
    <row r="40" spans="1:11" ht="15.6" x14ac:dyDescent="0.3">
      <c r="A40" s="257"/>
      <c r="B40" s="302" t="s">
        <v>180</v>
      </c>
      <c r="C40" s="6"/>
      <c r="D40" s="273">
        <f>Càlculs!BP11</f>
        <v>0</v>
      </c>
      <c r="E40" s="305"/>
      <c r="F40" s="249"/>
      <c r="G40" s="258"/>
      <c r="H40" s="258"/>
      <c r="I40" s="258"/>
      <c r="J40" s="255"/>
      <c r="K40" s="255"/>
    </row>
    <row r="41" spans="1:11" ht="15.6" x14ac:dyDescent="0.3">
      <c r="A41" s="257"/>
      <c r="B41" s="403" t="s">
        <v>181</v>
      </c>
      <c r="C41" s="404"/>
      <c r="D41" s="405">
        <f>Càlculs!BP12</f>
        <v>0</v>
      </c>
      <c r="E41" s="305"/>
      <c r="F41" s="249"/>
      <c r="G41" s="258"/>
      <c r="H41" s="258"/>
      <c r="I41" s="258"/>
      <c r="J41" s="255"/>
      <c r="K41" s="255"/>
    </row>
    <row r="42" spans="1:11" ht="16.2" thickBot="1" x14ac:dyDescent="0.35">
      <c r="A42" s="257"/>
      <c r="B42" s="406" t="s">
        <v>282</v>
      </c>
      <c r="C42" s="290"/>
      <c r="D42" s="407">
        <f>SUM(D33:D41)</f>
        <v>0</v>
      </c>
      <c r="E42" s="305"/>
      <c r="F42" s="249"/>
      <c r="G42" s="258"/>
      <c r="H42" s="258"/>
      <c r="I42" s="258"/>
      <c r="J42" s="255"/>
      <c r="K42" s="255"/>
    </row>
    <row r="43" spans="1:11" ht="15.6" x14ac:dyDescent="0.3">
      <c r="A43" s="257"/>
      <c r="B43" s="257"/>
      <c r="C43" s="304"/>
      <c r="D43" s="305"/>
      <c r="E43" s="305"/>
      <c r="F43" s="249"/>
      <c r="G43" s="249"/>
      <c r="H43" s="249"/>
      <c r="I43" s="249"/>
    </row>
    <row r="44" spans="1:11" x14ac:dyDescent="0.3">
      <c r="A44" s="276" t="s">
        <v>359</v>
      </c>
      <c r="B44" s="254"/>
      <c r="C44" s="254"/>
      <c r="D44" s="254"/>
      <c r="E44" s="254"/>
      <c r="F44" s="254"/>
    </row>
    <row r="45" spans="1:11" ht="15.6" x14ac:dyDescent="0.35">
      <c r="A45" t="s">
        <v>233</v>
      </c>
      <c r="B45" s="138">
        <f>Càlculs!AQ13</f>
        <v>0</v>
      </c>
      <c r="C45" t="s">
        <v>234</v>
      </c>
    </row>
    <row r="46" spans="1:11" ht="15.6" x14ac:dyDescent="0.35">
      <c r="A46" t="s">
        <v>235</v>
      </c>
      <c r="B46" s="138">
        <f>Càlculs!AS13</f>
        <v>0</v>
      </c>
      <c r="C46" t="s">
        <v>236</v>
      </c>
    </row>
    <row r="47" spans="1:11" ht="15.6" x14ac:dyDescent="0.35">
      <c r="A47" t="s">
        <v>277</v>
      </c>
      <c r="B47" s="138">
        <f>Càlculs!BQ13</f>
        <v>0</v>
      </c>
      <c r="C47" t="s">
        <v>280</v>
      </c>
    </row>
  </sheetData>
  <sheetProtection sheet="1" objects="1" scenarios="1" formatCells="0" formatColumns="0" formatRows="0"/>
  <mergeCells count="9">
    <mergeCell ref="B11:G11"/>
    <mergeCell ref="B17:G17"/>
    <mergeCell ref="B22:G22"/>
    <mergeCell ref="B28:E28"/>
    <mergeCell ref="C4:D4"/>
    <mergeCell ref="C5:D5"/>
    <mergeCell ref="C6:D6"/>
    <mergeCell ref="C7:D7"/>
    <mergeCell ref="C8:D8"/>
  </mergeCells>
  <conditionalFormatting sqref="E24 E26:E27">
    <cfRule type="cellIs" dxfId="26" priority="32" operator="equal">
      <formula>"Supera NEA"</formula>
    </cfRule>
    <cfRule type="cellIs" priority="33" operator="equal">
      <formula>"""-"""</formula>
    </cfRule>
    <cfRule type="cellIs" dxfId="25" priority="34" operator="equal">
      <formula>"correcte"</formula>
    </cfRule>
  </conditionalFormatting>
  <conditionalFormatting sqref="E4">
    <cfRule type="expression" dxfId="24" priority="31">
      <formula>$C$4=0</formula>
    </cfRule>
  </conditionalFormatting>
  <conditionalFormatting sqref="E5">
    <cfRule type="expression" dxfId="23" priority="30">
      <formula>$C$5=0</formula>
    </cfRule>
  </conditionalFormatting>
  <conditionalFormatting sqref="E6:G6">
    <cfRule type="expression" dxfId="22" priority="29">
      <formula>$C$6=0</formula>
    </cfRule>
  </conditionalFormatting>
  <conditionalFormatting sqref="E7">
    <cfRule type="expression" dxfId="21" priority="28">
      <formula>$C$7=0</formula>
    </cfRule>
  </conditionalFormatting>
  <conditionalFormatting sqref="E8">
    <cfRule type="expression" dxfId="20" priority="27">
      <formula>$C$8=0</formula>
    </cfRule>
  </conditionalFormatting>
  <conditionalFormatting sqref="F5">
    <cfRule type="expression" dxfId="19" priority="26">
      <formula>$C$5=0</formula>
    </cfRule>
  </conditionalFormatting>
  <conditionalFormatting sqref="E30:E43">
    <cfRule type="cellIs" dxfId="18" priority="20" operator="equal">
      <formula>"Supera NEA"</formula>
    </cfRule>
    <cfRule type="cellIs" priority="21" operator="equal">
      <formula>"""-"""</formula>
    </cfRule>
    <cfRule type="cellIs" dxfId="17" priority="22" operator="equal">
      <formula>"correcte"</formula>
    </cfRule>
  </conditionalFormatting>
  <conditionalFormatting sqref="E25">
    <cfRule type="cellIs" dxfId="16" priority="17" operator="equal">
      <formula>"Supera NEA"</formula>
    </cfRule>
    <cfRule type="cellIs" priority="18" operator="equal">
      <formula>"""-"""</formula>
    </cfRule>
    <cfRule type="cellIs" dxfId="15" priority="19" operator="equal">
      <formula>"correcte"</formula>
    </cfRule>
  </conditionalFormatting>
  <conditionalFormatting sqref="F7">
    <cfRule type="expression" dxfId="14" priority="16">
      <formula>$C$7=0</formula>
    </cfRule>
  </conditionalFormatting>
  <conditionalFormatting sqref="F8">
    <cfRule type="expression" dxfId="13" priority="15">
      <formula>$C$8=0</formula>
    </cfRule>
  </conditionalFormatting>
  <conditionalFormatting sqref="F4">
    <cfRule type="expression" dxfId="12" priority="14">
      <formula>$C$4=0</formula>
    </cfRule>
  </conditionalFormatting>
  <conditionalFormatting sqref="G4">
    <cfRule type="expression" dxfId="11" priority="13">
      <formula>$C$4=0</formula>
    </cfRule>
  </conditionalFormatting>
  <conditionalFormatting sqref="G7">
    <cfRule type="expression" dxfId="10" priority="11">
      <formula>$C$7=0</formula>
    </cfRule>
  </conditionalFormatting>
  <conditionalFormatting sqref="G8">
    <cfRule type="expression" dxfId="9" priority="10">
      <formula>$C$8=0</formula>
    </cfRule>
  </conditionalFormatting>
  <conditionalFormatting sqref="C4">
    <cfRule type="cellIs" dxfId="8" priority="9" operator="equal">
      <formula>0</formula>
    </cfRule>
  </conditionalFormatting>
  <conditionalFormatting sqref="C5">
    <cfRule type="cellIs" dxfId="7" priority="8" operator="equal">
      <formula>0</formula>
    </cfRule>
  </conditionalFormatting>
  <conditionalFormatting sqref="C6">
    <cfRule type="cellIs" dxfId="6" priority="7" operator="equal">
      <formula>0</formula>
    </cfRule>
  </conditionalFormatting>
  <conditionalFormatting sqref="C7:C8">
    <cfRule type="cellIs" dxfId="5" priority="6" operator="equal">
      <formula>0</formula>
    </cfRule>
  </conditionalFormatting>
  <conditionalFormatting sqref="H4">
    <cfRule type="expression" dxfId="4" priority="5">
      <formula>$C$4=0</formula>
    </cfRule>
  </conditionalFormatting>
  <conditionalFormatting sqref="G5">
    <cfRule type="expression" dxfId="3" priority="4">
      <formula>$C$4=0</formula>
    </cfRule>
  </conditionalFormatting>
  <conditionalFormatting sqref="H5">
    <cfRule type="expression" dxfId="2" priority="3">
      <formula>$C$4=0</formula>
    </cfRule>
  </conditionalFormatting>
  <conditionalFormatting sqref="H7">
    <cfRule type="expression" dxfId="1" priority="2">
      <formula>$C$7=0</formula>
    </cfRule>
  </conditionalFormatting>
  <conditionalFormatting sqref="H8">
    <cfRule type="expression" dxfId="0" priority="1">
      <formula>$C$8=0</formula>
    </cfRule>
  </conditionalFormatting>
  <pageMargins left="0.25" right="0.25"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4"/>
  <dimension ref="A1:BQ30"/>
  <sheetViews>
    <sheetView zoomScale="85" zoomScaleNormal="85" workbookViewId="0">
      <pane xSplit="10" ySplit="3" topLeftCell="BJ10" activePane="bottomRight" state="frozen"/>
      <selection sqref="A1:XFD1048576"/>
      <selection pane="topRight" sqref="A1:XFD1048576"/>
      <selection pane="bottomLeft" sqref="A1:XFD1048576"/>
      <selection pane="bottomRight" activeCell="F21" sqref="F21"/>
    </sheetView>
  </sheetViews>
  <sheetFormatPr defaultColWidth="11.5546875" defaultRowHeight="14.4" x14ac:dyDescent="0.3"/>
  <cols>
    <col min="1" max="1" width="14.88671875" customWidth="1"/>
    <col min="2" max="2" width="37.33203125" customWidth="1"/>
    <col min="3" max="3" width="10.44140625" bestFit="1" customWidth="1"/>
    <col min="4" max="4" width="10.88671875" customWidth="1"/>
    <col min="5" max="5" width="10.44140625" bestFit="1" customWidth="1"/>
    <col min="6" max="6" width="9.6640625" bestFit="1" customWidth="1"/>
    <col min="7" max="7" width="12.44140625" bestFit="1" customWidth="1"/>
    <col min="8" max="8" width="11.33203125" bestFit="1" customWidth="1"/>
    <col min="9" max="9" width="12.44140625" customWidth="1"/>
    <col min="10" max="10" width="12.6640625" customWidth="1"/>
    <col min="11" max="11" width="12.5546875" customWidth="1"/>
    <col min="12" max="12" width="8.6640625" customWidth="1"/>
    <col min="13" max="13" width="8.6640625" bestFit="1" customWidth="1"/>
    <col min="14" max="14" width="8.88671875" customWidth="1"/>
    <col min="15" max="15" width="10.5546875" customWidth="1"/>
    <col min="16" max="16" width="10" bestFit="1" customWidth="1"/>
    <col min="17" max="17" width="11.33203125" bestFit="1" customWidth="1"/>
    <col min="18" max="18" width="18.44140625" customWidth="1"/>
    <col min="19" max="19" width="8.88671875" customWidth="1"/>
    <col min="20" max="20" width="12.5546875" customWidth="1"/>
    <col min="21" max="21" width="14.88671875" customWidth="1"/>
    <col min="22" max="22" width="13.5546875" bestFit="1" customWidth="1"/>
    <col min="23" max="23" width="11" bestFit="1" customWidth="1"/>
    <col min="24" max="24" width="14.88671875" customWidth="1"/>
    <col min="25" max="25" width="8.88671875" customWidth="1"/>
    <col min="26" max="26" width="13.109375" customWidth="1"/>
    <col min="27" max="27" width="15.44140625" customWidth="1"/>
    <col min="28" max="28" width="8.88671875" customWidth="1"/>
    <col min="29" max="29" width="14.33203125" bestFit="1" customWidth="1"/>
    <col min="30" max="30" width="9.44140625" bestFit="1" customWidth="1"/>
    <col min="31" max="31" width="16.44140625" bestFit="1" customWidth="1"/>
    <col min="32" max="32" width="18.5546875" bestFit="1" customWidth="1"/>
    <col min="33" max="33" width="15.88671875" customWidth="1"/>
    <col min="34" max="34" width="24.5546875" bestFit="1" customWidth="1"/>
    <col min="35" max="35" width="23.6640625" customWidth="1"/>
    <col min="36" max="36" width="20.6640625" customWidth="1"/>
    <col min="37" max="37" width="18.5546875" customWidth="1"/>
    <col min="38" max="38" width="17.6640625" customWidth="1"/>
    <col min="39" max="39" width="15.6640625" customWidth="1"/>
    <col min="40" max="40" width="14.33203125" bestFit="1" customWidth="1"/>
    <col min="41" max="41" width="16.6640625" bestFit="1" customWidth="1"/>
    <col min="42" max="42" width="20.109375" bestFit="1" customWidth="1"/>
    <col min="43" max="43" width="20.33203125" bestFit="1" customWidth="1"/>
    <col min="44" max="44" width="18.88671875" bestFit="1" customWidth="1"/>
    <col min="45" max="45" width="19.33203125" bestFit="1" customWidth="1"/>
    <col min="46" max="46" width="17.5546875" bestFit="1" customWidth="1"/>
    <col min="47" max="47" width="20.33203125" bestFit="1" customWidth="1"/>
    <col min="48" max="48" width="16.109375" customWidth="1"/>
    <col min="49" max="49" width="22.6640625" bestFit="1" customWidth="1"/>
    <col min="50" max="50" width="21.6640625" bestFit="1" customWidth="1"/>
    <col min="51" max="51" width="13.109375" bestFit="1" customWidth="1"/>
    <col min="52" max="52" width="15.44140625" bestFit="1" customWidth="1"/>
    <col min="53" max="53" width="14.109375" bestFit="1" customWidth="1"/>
    <col min="54" max="54" width="16.109375" bestFit="1" customWidth="1"/>
    <col min="55" max="55" width="18.44140625" bestFit="1" customWidth="1"/>
    <col min="56" max="56" width="16.6640625" bestFit="1" customWidth="1"/>
    <col min="57" max="57" width="18" bestFit="1" customWidth="1"/>
    <col min="58" max="58" width="15.5546875" bestFit="1" customWidth="1"/>
    <col min="59" max="59" width="10.33203125" bestFit="1" customWidth="1"/>
    <col min="60" max="60" width="17.33203125" bestFit="1" customWidth="1"/>
    <col min="61" max="65" width="15.6640625" customWidth="1"/>
    <col min="66" max="66" width="8.44140625" bestFit="1" customWidth="1"/>
    <col min="67" max="67" width="4.21875" customWidth="1"/>
  </cols>
  <sheetData>
    <row r="1" spans="1:69" s="31" customFormat="1" ht="15.75" customHeight="1" x14ac:dyDescent="0.4">
      <c r="A1" s="546" t="s">
        <v>29</v>
      </c>
      <c r="B1" s="546" t="s">
        <v>6</v>
      </c>
      <c r="C1" s="548" t="s">
        <v>7</v>
      </c>
      <c r="D1" s="552" t="s">
        <v>213</v>
      </c>
      <c r="E1" s="552" t="s">
        <v>7</v>
      </c>
      <c r="F1" s="541" t="s">
        <v>28</v>
      </c>
      <c r="G1" s="541"/>
      <c r="H1" s="541"/>
      <c r="I1" s="541"/>
      <c r="J1" s="542"/>
      <c r="K1" s="543" t="s">
        <v>43</v>
      </c>
      <c r="L1" s="541"/>
      <c r="M1" s="542"/>
      <c r="N1" s="543" t="s">
        <v>1</v>
      </c>
      <c r="O1" s="541"/>
      <c r="P1" s="541"/>
      <c r="Q1" s="541"/>
      <c r="R1" s="541"/>
      <c r="S1" s="542"/>
      <c r="T1" s="543" t="s">
        <v>124</v>
      </c>
      <c r="U1" s="541"/>
      <c r="V1" s="541"/>
      <c r="W1" s="541"/>
      <c r="X1" s="541"/>
      <c r="Y1" s="541"/>
      <c r="Z1" s="543" t="s">
        <v>0</v>
      </c>
      <c r="AA1" s="541"/>
      <c r="AB1" s="541"/>
      <c r="AC1" s="542"/>
      <c r="AD1" s="543" t="s">
        <v>113</v>
      </c>
      <c r="AE1" s="541"/>
      <c r="AF1" s="541"/>
      <c r="AG1" s="542"/>
      <c r="AH1" s="543" t="s">
        <v>42</v>
      </c>
      <c r="AI1" s="541"/>
      <c r="AJ1" s="542"/>
      <c r="AK1" s="541" t="s">
        <v>136</v>
      </c>
      <c r="AL1" s="541"/>
      <c r="AM1" s="542"/>
      <c r="AN1" s="543" t="s">
        <v>76</v>
      </c>
      <c r="AO1" s="541"/>
      <c r="AP1" s="541"/>
      <c r="AQ1" s="541"/>
      <c r="AR1" s="541"/>
      <c r="AS1" s="541"/>
      <c r="AT1" s="541"/>
      <c r="AU1" s="541"/>
      <c r="AV1" s="542"/>
      <c r="AW1" s="544" t="s">
        <v>82</v>
      </c>
      <c r="AX1" s="545"/>
      <c r="AY1" s="541" t="s">
        <v>83</v>
      </c>
      <c r="AZ1" s="541"/>
      <c r="BA1" s="541"/>
      <c r="BB1" s="541"/>
      <c r="BC1" s="541"/>
      <c r="BD1" s="543" t="s">
        <v>90</v>
      </c>
      <c r="BE1" s="541"/>
      <c r="BF1" s="544" t="s">
        <v>56</v>
      </c>
      <c r="BG1" s="545"/>
      <c r="BH1" s="57" t="s">
        <v>115</v>
      </c>
      <c r="BI1" s="57" t="s">
        <v>96</v>
      </c>
      <c r="BJ1" s="57" t="s">
        <v>95</v>
      </c>
      <c r="BK1" s="57" t="s">
        <v>121</v>
      </c>
      <c r="BL1" s="90" t="s">
        <v>98</v>
      </c>
      <c r="BM1" s="55" t="s">
        <v>97</v>
      </c>
      <c r="BN1" s="59"/>
      <c r="BO1"/>
      <c r="BP1" s="297" t="s">
        <v>272</v>
      </c>
      <c r="BQ1" s="90" t="s">
        <v>274</v>
      </c>
    </row>
    <row r="2" spans="1:69" s="17" customFormat="1" ht="15.6" customHeight="1" x14ac:dyDescent="0.3">
      <c r="A2" s="546"/>
      <c r="B2" s="546"/>
      <c r="C2" s="549"/>
      <c r="D2" s="553"/>
      <c r="E2" s="554"/>
      <c r="F2" s="17" t="s">
        <v>168</v>
      </c>
      <c r="G2" s="17" t="s">
        <v>131</v>
      </c>
      <c r="H2" s="17" t="s">
        <v>31</v>
      </c>
      <c r="I2" s="17" t="s">
        <v>25</v>
      </c>
      <c r="J2" s="20" t="s">
        <v>103</v>
      </c>
      <c r="K2" s="445" t="s">
        <v>10</v>
      </c>
      <c r="L2" s="17" t="s">
        <v>8</v>
      </c>
      <c r="M2" s="20" t="s">
        <v>9</v>
      </c>
      <c r="N2" s="17" t="s">
        <v>11</v>
      </c>
      <c r="O2" s="17" t="s">
        <v>12</v>
      </c>
      <c r="P2" s="19" t="s">
        <v>14</v>
      </c>
      <c r="Q2" s="29" t="s">
        <v>27</v>
      </c>
      <c r="R2" s="22" t="s">
        <v>132</v>
      </c>
      <c r="S2" s="50" t="s">
        <v>104</v>
      </c>
      <c r="T2" s="35" t="s">
        <v>133</v>
      </c>
      <c r="U2" s="18" t="s">
        <v>134</v>
      </c>
      <c r="V2" s="19" t="s">
        <v>135</v>
      </c>
      <c r="W2" s="29" t="s">
        <v>54</v>
      </c>
      <c r="X2" s="22" t="s">
        <v>134</v>
      </c>
      <c r="Y2" s="50" t="s">
        <v>30</v>
      </c>
      <c r="Z2" s="445" t="s">
        <v>34</v>
      </c>
      <c r="AA2" s="17" t="s">
        <v>35</v>
      </c>
      <c r="AB2" s="50" t="s">
        <v>105</v>
      </c>
      <c r="AC2" s="131" t="s">
        <v>37</v>
      </c>
      <c r="AD2" s="33" t="s">
        <v>114</v>
      </c>
      <c r="AE2" s="29" t="s">
        <v>39</v>
      </c>
      <c r="AF2" s="29" t="s">
        <v>40</v>
      </c>
      <c r="AG2" s="50" t="s">
        <v>106</v>
      </c>
      <c r="AH2" s="23" t="s">
        <v>44</v>
      </c>
      <c r="AI2" s="24" t="s">
        <v>41</v>
      </c>
      <c r="AJ2" s="25" t="s">
        <v>69</v>
      </c>
      <c r="AK2" s="24" t="s">
        <v>70</v>
      </c>
      <c r="AL2" s="24" t="s">
        <v>71</v>
      </c>
      <c r="AM2" s="25" t="s">
        <v>72</v>
      </c>
      <c r="AN2" s="445" t="s">
        <v>45</v>
      </c>
      <c r="AO2" s="17" t="s">
        <v>46</v>
      </c>
      <c r="AP2" s="19" t="s">
        <v>47</v>
      </c>
      <c r="AQ2" s="19" t="s">
        <v>48</v>
      </c>
      <c r="AR2" s="19" t="s">
        <v>49</v>
      </c>
      <c r="AS2" s="19" t="s">
        <v>122</v>
      </c>
      <c r="AT2" s="29" t="s">
        <v>77</v>
      </c>
      <c r="AU2" s="49" t="s">
        <v>75</v>
      </c>
      <c r="AV2" s="50" t="s">
        <v>107</v>
      </c>
      <c r="AW2" s="166" t="s">
        <v>60</v>
      </c>
      <c r="AX2" s="38" t="s">
        <v>81</v>
      </c>
      <c r="AY2" s="18" t="s">
        <v>50</v>
      </c>
      <c r="AZ2" s="18" t="s">
        <v>51</v>
      </c>
      <c r="BA2" s="19" t="s">
        <v>52</v>
      </c>
      <c r="BB2" s="29" t="s">
        <v>87</v>
      </c>
      <c r="BC2" s="29" t="s">
        <v>89</v>
      </c>
      <c r="BD2" s="74" t="s">
        <v>92</v>
      </c>
      <c r="BE2" s="29" t="s">
        <v>94</v>
      </c>
      <c r="BF2" s="35" t="s">
        <v>53</v>
      </c>
      <c r="BG2" s="75" t="s">
        <v>59</v>
      </c>
      <c r="BH2" s="56" t="s">
        <v>116</v>
      </c>
      <c r="BI2" s="56" t="s">
        <v>100</v>
      </c>
      <c r="BJ2" s="56" t="s">
        <v>99</v>
      </c>
      <c r="BK2" s="56" t="s">
        <v>101</v>
      </c>
      <c r="BL2" s="550" t="s">
        <v>13</v>
      </c>
      <c r="BM2" s="539" t="s">
        <v>102</v>
      </c>
      <c r="BN2" s="37" t="s">
        <v>2</v>
      </c>
      <c r="BO2"/>
      <c r="BP2" s="300" t="s">
        <v>276</v>
      </c>
      <c r="BQ2" s="300" t="s">
        <v>276</v>
      </c>
    </row>
    <row r="3" spans="1:69" s="61" customFormat="1" ht="18" x14ac:dyDescent="0.3">
      <c r="A3" s="547"/>
      <c r="B3" s="547"/>
      <c r="C3" s="65" t="s">
        <v>169</v>
      </c>
      <c r="D3" s="26" t="s">
        <v>214</v>
      </c>
      <c r="E3" s="26" t="s">
        <v>215</v>
      </c>
      <c r="F3" s="61" t="s">
        <v>166</v>
      </c>
      <c r="G3" s="61" t="s">
        <v>167</v>
      </c>
      <c r="H3" s="61" t="s">
        <v>13</v>
      </c>
      <c r="I3" s="61" t="s">
        <v>165</v>
      </c>
      <c r="J3" s="3" t="s">
        <v>26</v>
      </c>
      <c r="K3" s="65"/>
      <c r="M3" s="3"/>
      <c r="N3" s="62" t="s">
        <v>5</v>
      </c>
      <c r="O3" s="62" t="s">
        <v>16</v>
      </c>
      <c r="P3" s="16" t="s">
        <v>15</v>
      </c>
      <c r="Q3" s="27" t="s">
        <v>5</v>
      </c>
      <c r="R3" s="28" t="s">
        <v>15</v>
      </c>
      <c r="S3" s="51"/>
      <c r="T3" s="11" t="s">
        <v>5</v>
      </c>
      <c r="U3" s="12" t="s">
        <v>16</v>
      </c>
      <c r="V3" s="16" t="s">
        <v>15</v>
      </c>
      <c r="W3" s="27" t="s">
        <v>5</v>
      </c>
      <c r="X3" s="28" t="s">
        <v>15</v>
      </c>
      <c r="Y3" s="51"/>
      <c r="Z3" s="65" t="s">
        <v>5</v>
      </c>
      <c r="AA3" s="61" t="s">
        <v>15</v>
      </c>
      <c r="AB3" s="159"/>
      <c r="AC3" s="132" t="s">
        <v>15</v>
      </c>
      <c r="AD3" s="26" t="s">
        <v>38</v>
      </c>
      <c r="AE3" s="34" t="s">
        <v>68</v>
      </c>
      <c r="AF3" s="34" t="s">
        <v>73</v>
      </c>
      <c r="AG3" s="51"/>
      <c r="AH3" s="65"/>
      <c r="AJ3" s="3"/>
      <c r="AM3" s="3"/>
      <c r="AN3" s="21"/>
      <c r="AO3" s="62"/>
      <c r="AP3" s="16" t="s">
        <v>15</v>
      </c>
      <c r="AQ3" s="16" t="s">
        <v>62</v>
      </c>
      <c r="AR3" s="16" t="s">
        <v>63</v>
      </c>
      <c r="AS3" s="16" t="s">
        <v>123</v>
      </c>
      <c r="AT3" s="34" t="s">
        <v>55</v>
      </c>
      <c r="AU3" s="34" t="s">
        <v>74</v>
      </c>
      <c r="AV3" s="51"/>
      <c r="AW3" s="167"/>
      <c r="AX3" s="68"/>
      <c r="AY3" s="32" t="s">
        <v>84</v>
      </c>
      <c r="AZ3" s="32" t="s">
        <v>85</v>
      </c>
      <c r="BA3" s="30" t="s">
        <v>61</v>
      </c>
      <c r="BB3" s="34" t="s">
        <v>86</v>
      </c>
      <c r="BC3" s="34" t="s">
        <v>88</v>
      </c>
      <c r="BD3" s="48" t="s">
        <v>91</v>
      </c>
      <c r="BE3" s="34" t="s">
        <v>93</v>
      </c>
      <c r="BF3" s="35" t="s">
        <v>84</v>
      </c>
      <c r="BG3" s="168" t="s">
        <v>85</v>
      </c>
      <c r="BH3" s="58" t="s">
        <v>13</v>
      </c>
      <c r="BI3" s="58" t="s">
        <v>13</v>
      </c>
      <c r="BJ3" s="58" t="s">
        <v>13</v>
      </c>
      <c r="BK3" s="58" t="s">
        <v>13</v>
      </c>
      <c r="BL3" s="551"/>
      <c r="BM3" s="540"/>
      <c r="BN3" s="60"/>
      <c r="BO3"/>
      <c r="BP3" s="443" t="s">
        <v>270</v>
      </c>
      <c r="BQ3" s="443" t="s">
        <v>275</v>
      </c>
    </row>
    <row r="4" spans="1:69" s="134" customFormat="1" x14ac:dyDescent="0.3">
      <c r="A4" s="109" t="s">
        <v>360</v>
      </c>
      <c r="B4" s="36" t="s">
        <v>173</v>
      </c>
      <c r="C4" s="151">
        <f>Dades!E$8</f>
        <v>0</v>
      </c>
      <c r="D4" s="226"/>
      <c r="E4" s="227"/>
      <c r="F4" s="428">
        <v>0.31</v>
      </c>
      <c r="G4" s="429">
        <v>0.249</v>
      </c>
      <c r="H4" s="157">
        <f t="shared" ref="H4:H12" si="0">C4*F4</f>
        <v>0</v>
      </c>
      <c r="I4" s="40">
        <f>G4/F4</f>
        <v>0.8032258064516129</v>
      </c>
      <c r="J4" s="40">
        <f>H4*I4</f>
        <v>0</v>
      </c>
      <c r="K4" s="42">
        <f>F.Distribució!$E$4</f>
        <v>0</v>
      </c>
      <c r="L4" s="40">
        <f>F.Distribució!$F$4</f>
        <v>0</v>
      </c>
      <c r="M4" s="41">
        <f>F.Distribució!$G$4</f>
        <v>1</v>
      </c>
      <c r="N4" s="39">
        <f>H4*K4</f>
        <v>0</v>
      </c>
      <c r="O4" s="39">
        <f>J4*K4</f>
        <v>0</v>
      </c>
      <c r="P4" s="44">
        <f>O4*F.Emissió!E3</f>
        <v>0</v>
      </c>
      <c r="Q4" s="45">
        <f>N4-P4</f>
        <v>0</v>
      </c>
      <c r="R4" s="46">
        <f>O4-P4</f>
        <v>0</v>
      </c>
      <c r="S4" s="52">
        <f>(K4*J4)-(P4+R4)</f>
        <v>0</v>
      </c>
      <c r="T4" s="43">
        <f>H4*L4</f>
        <v>0</v>
      </c>
      <c r="U4" s="39">
        <f>J4*L4</f>
        <v>0</v>
      </c>
      <c r="V4" s="44">
        <f>U4*F.Emissió!H3</f>
        <v>0</v>
      </c>
      <c r="W4" s="45">
        <f>T4-V4</f>
        <v>0</v>
      </c>
      <c r="X4" s="46">
        <f>U4-V4</f>
        <v>0</v>
      </c>
      <c r="Y4" s="52">
        <f>W4+V4+Q4+P4-(H4*K4+H4*L4)</f>
        <v>0</v>
      </c>
      <c r="Z4" s="42">
        <f>H4*M4</f>
        <v>0</v>
      </c>
      <c r="AA4" s="69">
        <f>J4*M4</f>
        <v>0</v>
      </c>
      <c r="AB4" s="161">
        <f>(AA4)-J4*M4</f>
        <v>0</v>
      </c>
      <c r="AC4" s="73">
        <f>AA4*F.Emissió!K3</f>
        <v>0</v>
      </c>
      <c r="AD4" s="47">
        <f>F.Distribució!$J$4</f>
        <v>0</v>
      </c>
      <c r="AE4" s="71">
        <f>(C4*AD4*M4)+Z4-AC4</f>
        <v>0</v>
      </c>
      <c r="AF4" s="71">
        <f>(AA4-AC4)*(1-0.0067)</f>
        <v>0</v>
      </c>
      <c r="AG4" s="67">
        <f t="shared" ref="AG4:AG12" si="1">(AE4+W4+Q4)+(P4+V4+AC4)-(H4+AD4*C4*M4)</f>
        <v>0</v>
      </c>
      <c r="AH4" s="42">
        <f>F.Distribució!K4</f>
        <v>1</v>
      </c>
      <c r="AI4" s="40">
        <f>F.Distribució!L4</f>
        <v>0</v>
      </c>
      <c r="AJ4" s="40">
        <f>F.Distribució!M4</f>
        <v>0</v>
      </c>
      <c r="AK4" s="42">
        <f>F.Distribució!O4</f>
        <v>0</v>
      </c>
      <c r="AL4" s="40">
        <f>F.Distribució!P4</f>
        <v>0</v>
      </c>
      <c r="AM4" s="41">
        <f>F.Distribució!Q4</f>
        <v>0</v>
      </c>
      <c r="AN4" s="39">
        <f>AE4*AH4+W4*AK4</f>
        <v>0</v>
      </c>
      <c r="AO4" s="39">
        <f>AF4*AH4+X4*AK4</f>
        <v>0</v>
      </c>
      <c r="AP4" s="44">
        <f>AO4*F.Emissió!N3</f>
        <v>0</v>
      </c>
      <c r="AQ4" s="44">
        <f>AO4*F.Emissió!S3</f>
        <v>0</v>
      </c>
      <c r="AR4" s="44">
        <f>AO4*F.Emissió!T3</f>
        <v>0</v>
      </c>
      <c r="AS4" s="44">
        <f>AO4*F.Emissió!U3</f>
        <v>0</v>
      </c>
      <c r="AT4" s="45">
        <f>AN4-AP4-AQ4*(28/44)-AR4-AS4*(14/46)</f>
        <v>0</v>
      </c>
      <c r="AU4" s="45">
        <f>AO4-AP4-AQ4*(28/44)-AR4-AS4*(14/46)</f>
        <v>0</v>
      </c>
      <c r="AV4" s="247">
        <f>(AT4+AP4+AR4+AQ4*28/44+AS4*14/46)-AN4</f>
        <v>0</v>
      </c>
      <c r="AW4" s="42">
        <f>F.Distribució!S4</f>
        <v>1</v>
      </c>
      <c r="AX4" s="41">
        <f>F.Distribució!T4</f>
        <v>0</v>
      </c>
      <c r="AY4" s="53">
        <f>AT4*AW4+AE4*AI4+W4*AL4</f>
        <v>0</v>
      </c>
      <c r="AZ4" s="53">
        <f>AU4*AW4+AF4*AI4+X4*AL4</f>
        <v>0</v>
      </c>
      <c r="BA4" s="54">
        <f>AZ4*F.Emissió!Q3</f>
        <v>0</v>
      </c>
      <c r="BB4" s="182">
        <f>AY4-BA4</f>
        <v>0</v>
      </c>
      <c r="BC4" s="183">
        <f>AZ4-BA4</f>
        <v>0</v>
      </c>
      <c r="BD4" s="184">
        <f>BB4+Q4</f>
        <v>0</v>
      </c>
      <c r="BE4" s="182">
        <f>BC4+R4</f>
        <v>0</v>
      </c>
      <c r="BF4" s="185">
        <f>W4*AM4+AT4*AX4+AE4*AJ4</f>
        <v>0</v>
      </c>
      <c r="BG4" s="192">
        <f>X4*AM4+AU4*AX4+AF4*AJ4</f>
        <v>0</v>
      </c>
      <c r="BH4" s="171">
        <f>BA4+AP4+AC4+V4+P4</f>
        <v>0</v>
      </c>
      <c r="BI4" s="171">
        <f>AQ4*28/44</f>
        <v>0</v>
      </c>
      <c r="BJ4" s="171">
        <f>AR4</f>
        <v>0</v>
      </c>
      <c r="BK4" s="172">
        <f>AS4*14/46</f>
        <v>0</v>
      </c>
      <c r="BL4" s="172">
        <f>SUM(BH4:BK4)</f>
        <v>0</v>
      </c>
      <c r="BM4" s="172">
        <f>BH4*17/14</f>
        <v>0</v>
      </c>
      <c r="BN4" s="173">
        <f t="shared" ref="BN4:BN12" si="2">H4+(AD4*C4*M4)-(BD4+BF4+BL4)</f>
        <v>0</v>
      </c>
      <c r="BO4"/>
      <c r="BP4" s="298">
        <f>C4*F.Emissió!W3</f>
        <v>0</v>
      </c>
      <c r="BQ4" s="298">
        <f>C4*F.Emissió!X3</f>
        <v>0</v>
      </c>
    </row>
    <row r="5" spans="1:69" s="134" customFormat="1" x14ac:dyDescent="0.3">
      <c r="A5" s="109" t="s">
        <v>360</v>
      </c>
      <c r="B5" s="134" t="s">
        <v>176</v>
      </c>
      <c r="C5" s="152">
        <f>Dades!E$10</f>
        <v>0</v>
      </c>
      <c r="D5" s="226"/>
      <c r="E5" s="227"/>
      <c r="F5" s="428">
        <v>0.64100000000000001</v>
      </c>
      <c r="G5" s="430">
        <v>0.49399999999999999</v>
      </c>
      <c r="H5" s="154">
        <f t="shared" si="0"/>
        <v>0</v>
      </c>
      <c r="I5" s="39">
        <f t="shared" ref="I5:I12" si="3">G5/F5</f>
        <v>0.77067082683307331</v>
      </c>
      <c r="J5" s="39">
        <f t="shared" ref="J5:J11" si="4">H5*I5</f>
        <v>0</v>
      </c>
      <c r="K5" s="43">
        <f>F.Distribució!$E$4</f>
        <v>0</v>
      </c>
      <c r="L5" s="39">
        <f>F.Distribució!$F$5</f>
        <v>0</v>
      </c>
      <c r="M5" s="64">
        <f>F.Distribució!$G$5</f>
        <v>1</v>
      </c>
      <c r="N5" s="39">
        <f t="shared" ref="N5:N12" si="5">H5*K5</f>
        <v>0</v>
      </c>
      <c r="O5" s="39">
        <f t="shared" ref="O5:O12" si="6">J5*K5</f>
        <v>0</v>
      </c>
      <c r="P5" s="44">
        <f>O5*F.Emissió!E4</f>
        <v>0</v>
      </c>
      <c r="Q5" s="45">
        <f t="shared" ref="Q5:Q12" si="7">N5-P5</f>
        <v>0</v>
      </c>
      <c r="R5" s="46">
        <f t="shared" ref="R5:R12" si="8">O5-P5</f>
        <v>0</v>
      </c>
      <c r="S5" s="52">
        <f t="shared" ref="S5:S12" si="9">(K5*J5)-(P5+R5)</f>
        <v>0</v>
      </c>
      <c r="T5" s="43">
        <f t="shared" ref="T5:T12" si="10">H5*L5</f>
        <v>0</v>
      </c>
      <c r="U5" s="39">
        <f t="shared" ref="U5:U12" si="11">J5*L5</f>
        <v>0</v>
      </c>
      <c r="V5" s="44">
        <f>U5*F.Emissió!H4</f>
        <v>0</v>
      </c>
      <c r="W5" s="45">
        <f t="shared" ref="W5:W12" si="12">T5-V5</f>
        <v>0</v>
      </c>
      <c r="X5" s="46">
        <f t="shared" ref="X5:X12" si="13">U5-V5</f>
        <v>0</v>
      </c>
      <c r="Y5" s="52">
        <f t="shared" ref="Y5:Y12" si="14">W5+V5+Q5+P5-(H5*K5+H5*L5)</f>
        <v>0</v>
      </c>
      <c r="Z5" s="43">
        <f t="shared" ref="Z5:Z12" si="15">H5*M5</f>
        <v>0</v>
      </c>
      <c r="AA5" s="70">
        <f t="shared" ref="AA5:AA12" si="16">J5*M5</f>
        <v>0</v>
      </c>
      <c r="AB5" s="52">
        <f t="shared" ref="AB5:AB12" si="17">(AA5)-J5*M5</f>
        <v>0</v>
      </c>
      <c r="AC5" s="73">
        <f>AA5*F.Emissió!K4</f>
        <v>0</v>
      </c>
      <c r="AD5" s="47">
        <f>F.Distribució!$J$5</f>
        <v>0</v>
      </c>
      <c r="AE5" s="71">
        <f t="shared" ref="AE5:AE12" si="18">(C5*AD5*M5)+Z5-AC5</f>
        <v>0</v>
      </c>
      <c r="AF5" s="71">
        <f t="shared" ref="AF5:AF12" si="19">(AA5-AC5)*(1-0.0067)</f>
        <v>0</v>
      </c>
      <c r="AG5" s="67">
        <f t="shared" si="1"/>
        <v>0</v>
      </c>
      <c r="AH5" s="43">
        <f>F.Distribució!K5</f>
        <v>1</v>
      </c>
      <c r="AI5" s="39">
        <f>F.Distribució!L5</f>
        <v>0</v>
      </c>
      <c r="AJ5" s="39">
        <f>F.Distribució!M5</f>
        <v>0</v>
      </c>
      <c r="AK5" s="43">
        <f>F.Distribució!O5</f>
        <v>0</v>
      </c>
      <c r="AL5" s="39">
        <f>F.Distribució!P5</f>
        <v>0</v>
      </c>
      <c r="AM5" s="64">
        <f>F.Distribució!Q5</f>
        <v>0</v>
      </c>
      <c r="AN5" s="39">
        <f t="shared" ref="AN5:AN12" si="20">AE5*AH5+W5*AK5</f>
        <v>0</v>
      </c>
      <c r="AO5" s="39">
        <f t="shared" ref="AO5:AO12" si="21">AF5*AH5+X5*AK5</f>
        <v>0</v>
      </c>
      <c r="AP5" s="44">
        <f>AO5*F.Emissió!N4</f>
        <v>0</v>
      </c>
      <c r="AQ5" s="44">
        <f>AO5*F.Emissió!S4</f>
        <v>0</v>
      </c>
      <c r="AR5" s="44">
        <f>AO5*F.Emissió!T4</f>
        <v>0</v>
      </c>
      <c r="AS5" s="44">
        <f>AO5*F.Emissió!U4</f>
        <v>0</v>
      </c>
      <c r="AT5" s="45">
        <f t="shared" ref="AT5:AT12" si="22">AN5-AP5-AQ5*(28/44)-AR5-AS5*(14/46)</f>
        <v>0</v>
      </c>
      <c r="AU5" s="45">
        <f t="shared" ref="AU5:AU12" si="23">AO5-AP5-AQ5*(28/44)-AR5-AS5*(14/46)</f>
        <v>0</v>
      </c>
      <c r="AV5" s="247">
        <f t="shared" ref="AV5:AV12" si="24">(AT5+AP5+AR5+AQ5*28/44+AS5*14/46)-AN5</f>
        <v>0</v>
      </c>
      <c r="AW5" s="43">
        <f>F.Distribució!S5</f>
        <v>1</v>
      </c>
      <c r="AX5" s="64">
        <f>F.Distribució!T5</f>
        <v>0</v>
      </c>
      <c r="AY5" s="53">
        <f t="shared" ref="AY5:AY12" si="25">AT5*AW5+AE5*AI5+W5*AL5</f>
        <v>0</v>
      </c>
      <c r="AZ5" s="53">
        <f t="shared" ref="AZ5:AZ12" si="26">AU5*AW5+AF5*AI5+X5*AL5</f>
        <v>0</v>
      </c>
      <c r="BA5" s="54">
        <f>AZ5*F.Emissió!Q4</f>
        <v>0</v>
      </c>
      <c r="BB5" s="182">
        <f t="shared" ref="BB5:BB12" si="27">AY5-BA5</f>
        <v>0</v>
      </c>
      <c r="BC5" s="183">
        <f t="shared" ref="BC5:BC12" si="28">AZ5-BA5</f>
        <v>0</v>
      </c>
      <c r="BD5" s="184">
        <f t="shared" ref="BD5:BD12" si="29">BB5+Q5</f>
        <v>0</v>
      </c>
      <c r="BE5" s="182">
        <f t="shared" ref="BE5:BE12" si="30">BC5+R5</f>
        <v>0</v>
      </c>
      <c r="BF5" s="186">
        <f t="shared" ref="BF5:BF12" si="31">W5*AM5+AT5*AX5+AE5*AJ5</f>
        <v>0</v>
      </c>
      <c r="BG5" s="193">
        <f t="shared" ref="BG5:BG12" si="32">X5*AM5+AU5*AX5+AF5*AJ5</f>
        <v>0</v>
      </c>
      <c r="BH5" s="171">
        <f t="shared" ref="BH5:BH12" si="33">BA5+AP5+AC5+V5+P5</f>
        <v>0</v>
      </c>
      <c r="BI5" s="171">
        <f t="shared" ref="BI5:BI12" si="34">AQ5*28/44</f>
        <v>0</v>
      </c>
      <c r="BJ5" s="171">
        <f t="shared" ref="BJ5:BJ12" si="35">AR5</f>
        <v>0</v>
      </c>
      <c r="BK5" s="172">
        <f t="shared" ref="BK5:BK12" si="36">AS5*14/46</f>
        <v>0</v>
      </c>
      <c r="BL5" s="172">
        <f t="shared" ref="BL5:BL12" si="37">SUM(BH5:BK5)</f>
        <v>0</v>
      </c>
      <c r="BM5" s="172">
        <f t="shared" ref="BM5:BM12" si="38">BH5*17/14</f>
        <v>0</v>
      </c>
      <c r="BN5" s="173">
        <f t="shared" si="2"/>
        <v>0</v>
      </c>
      <c r="BO5"/>
      <c r="BP5" s="299">
        <f>C5*F.Emissió!W4</f>
        <v>0</v>
      </c>
      <c r="BQ5" s="299">
        <f>C5*F.Emissió!X4</f>
        <v>0</v>
      </c>
    </row>
    <row r="6" spans="1:69" s="134" customFormat="1" x14ac:dyDescent="0.3">
      <c r="A6" s="110" t="s">
        <v>360</v>
      </c>
      <c r="B6" s="427" t="s">
        <v>174</v>
      </c>
      <c r="C6" s="152">
        <f>Dades!E$12</f>
        <v>0</v>
      </c>
      <c r="D6" s="226"/>
      <c r="E6" s="227"/>
      <c r="F6" s="428">
        <v>0.34599999999999997</v>
      </c>
      <c r="G6" s="430">
        <v>0.27900000000000003</v>
      </c>
      <c r="H6" s="154">
        <f t="shared" si="0"/>
        <v>0</v>
      </c>
      <c r="I6" s="39">
        <f t="shared" si="3"/>
        <v>0.8063583815028903</v>
      </c>
      <c r="J6" s="39">
        <f t="shared" si="4"/>
        <v>0</v>
      </c>
      <c r="K6" s="43">
        <f>F.Distribució!$E$4</f>
        <v>0</v>
      </c>
      <c r="L6" s="39">
        <f>F.Distribució!$F$6</f>
        <v>0</v>
      </c>
      <c r="M6" s="64">
        <f>F.Distribució!$G$6</f>
        <v>1</v>
      </c>
      <c r="N6" s="39">
        <f t="shared" si="5"/>
        <v>0</v>
      </c>
      <c r="O6" s="39">
        <f t="shared" si="6"/>
        <v>0</v>
      </c>
      <c r="P6" s="44">
        <f>O6*F.Emissió!E5</f>
        <v>0</v>
      </c>
      <c r="Q6" s="45">
        <f t="shared" si="7"/>
        <v>0</v>
      </c>
      <c r="R6" s="46">
        <f t="shared" si="8"/>
        <v>0</v>
      </c>
      <c r="S6" s="52">
        <f t="shared" si="9"/>
        <v>0</v>
      </c>
      <c r="T6" s="43">
        <f t="shared" si="10"/>
        <v>0</v>
      </c>
      <c r="U6" s="39">
        <f t="shared" si="11"/>
        <v>0</v>
      </c>
      <c r="V6" s="44">
        <f>U6*F.Emissió!H5</f>
        <v>0</v>
      </c>
      <c r="W6" s="45">
        <f t="shared" si="12"/>
        <v>0</v>
      </c>
      <c r="X6" s="46">
        <f t="shared" si="13"/>
        <v>0</v>
      </c>
      <c r="Y6" s="52">
        <f t="shared" si="14"/>
        <v>0</v>
      </c>
      <c r="Z6" s="43">
        <f t="shared" si="15"/>
        <v>0</v>
      </c>
      <c r="AA6" s="70">
        <f t="shared" si="16"/>
        <v>0</v>
      </c>
      <c r="AB6" s="52">
        <f t="shared" si="17"/>
        <v>0</v>
      </c>
      <c r="AC6" s="73">
        <f>AA6*F.Emissió!K5</f>
        <v>0</v>
      </c>
      <c r="AD6" s="47">
        <f>F.Distribució!$J$6</f>
        <v>0</v>
      </c>
      <c r="AE6" s="71">
        <f t="shared" si="18"/>
        <v>0</v>
      </c>
      <c r="AF6" s="71">
        <f t="shared" si="19"/>
        <v>0</v>
      </c>
      <c r="AG6" s="67">
        <f t="shared" si="1"/>
        <v>0</v>
      </c>
      <c r="AH6" s="43">
        <f>F.Distribució!K6</f>
        <v>1</v>
      </c>
      <c r="AI6" s="39">
        <f>F.Distribució!L6</f>
        <v>0</v>
      </c>
      <c r="AJ6" s="39">
        <f>F.Distribució!M6</f>
        <v>0</v>
      </c>
      <c r="AK6" s="43">
        <f>F.Distribució!O6</f>
        <v>0</v>
      </c>
      <c r="AL6" s="39">
        <f>F.Distribució!P6</f>
        <v>0</v>
      </c>
      <c r="AM6" s="64">
        <f>F.Distribució!Q6</f>
        <v>0</v>
      </c>
      <c r="AN6" s="39">
        <f t="shared" si="20"/>
        <v>0</v>
      </c>
      <c r="AO6" s="39">
        <f t="shared" si="21"/>
        <v>0</v>
      </c>
      <c r="AP6" s="44">
        <f>AO6*F.Emissió!N5</f>
        <v>0</v>
      </c>
      <c r="AQ6" s="44">
        <f>AO6*F.Emissió!S5</f>
        <v>0</v>
      </c>
      <c r="AR6" s="44">
        <f>AO6*F.Emissió!T5</f>
        <v>0</v>
      </c>
      <c r="AS6" s="44">
        <f>AO6*F.Emissió!U5</f>
        <v>0</v>
      </c>
      <c r="AT6" s="45">
        <f t="shared" si="22"/>
        <v>0</v>
      </c>
      <c r="AU6" s="45">
        <f t="shared" si="23"/>
        <v>0</v>
      </c>
      <c r="AV6" s="247">
        <f t="shared" si="24"/>
        <v>0</v>
      </c>
      <c r="AW6" s="43">
        <f>F.Distribució!S6</f>
        <v>1</v>
      </c>
      <c r="AX6" s="64">
        <f>F.Distribució!T6</f>
        <v>0</v>
      </c>
      <c r="AY6" s="53">
        <f t="shared" si="25"/>
        <v>0</v>
      </c>
      <c r="AZ6" s="53">
        <f t="shared" si="26"/>
        <v>0</v>
      </c>
      <c r="BA6" s="54">
        <f>AZ6*F.Emissió!Q5</f>
        <v>0</v>
      </c>
      <c r="BB6" s="182">
        <f t="shared" si="27"/>
        <v>0</v>
      </c>
      <c r="BC6" s="183">
        <f t="shared" si="28"/>
        <v>0</v>
      </c>
      <c r="BD6" s="184">
        <f t="shared" si="29"/>
        <v>0</v>
      </c>
      <c r="BE6" s="182">
        <f t="shared" si="30"/>
        <v>0</v>
      </c>
      <c r="BF6" s="186">
        <f t="shared" si="31"/>
        <v>0</v>
      </c>
      <c r="BG6" s="193">
        <f t="shared" si="32"/>
        <v>0</v>
      </c>
      <c r="BH6" s="171">
        <f t="shared" si="33"/>
        <v>0</v>
      </c>
      <c r="BI6" s="171">
        <f t="shared" si="34"/>
        <v>0</v>
      </c>
      <c r="BJ6" s="171">
        <f t="shared" si="35"/>
        <v>0</v>
      </c>
      <c r="BK6" s="172">
        <f t="shared" si="36"/>
        <v>0</v>
      </c>
      <c r="BL6" s="172">
        <f t="shared" si="37"/>
        <v>0</v>
      </c>
      <c r="BM6" s="172">
        <f t="shared" si="38"/>
        <v>0</v>
      </c>
      <c r="BN6" s="173">
        <f t="shared" si="2"/>
        <v>0</v>
      </c>
      <c r="BO6"/>
      <c r="BP6" s="299">
        <f>C6*F.Emissió!W5</f>
        <v>0</v>
      </c>
      <c r="BQ6" s="299">
        <f>C6*F.Emissió!X5</f>
        <v>0</v>
      </c>
    </row>
    <row r="7" spans="1:69" s="134" customFormat="1" x14ac:dyDescent="0.3">
      <c r="A7" s="110" t="s">
        <v>360</v>
      </c>
      <c r="B7" s="427" t="s">
        <v>177</v>
      </c>
      <c r="C7" s="152">
        <f>Dades!E$14</f>
        <v>0</v>
      </c>
      <c r="D7" s="226"/>
      <c r="E7" s="227"/>
      <c r="F7" s="428">
        <v>0.64300000000000002</v>
      </c>
      <c r="G7" s="430">
        <v>0.495</v>
      </c>
      <c r="H7" s="154">
        <f t="shared" si="0"/>
        <v>0</v>
      </c>
      <c r="I7" s="39">
        <f t="shared" si="3"/>
        <v>0.76982892690513216</v>
      </c>
      <c r="J7" s="39">
        <f t="shared" si="4"/>
        <v>0</v>
      </c>
      <c r="K7" s="43">
        <f>F.Distribució!$E$4</f>
        <v>0</v>
      </c>
      <c r="L7" s="39">
        <f>F.Distribució!$F$7</f>
        <v>0</v>
      </c>
      <c r="M7" s="64">
        <f>F.Distribució!$G$7</f>
        <v>1</v>
      </c>
      <c r="N7" s="39">
        <f t="shared" si="5"/>
        <v>0</v>
      </c>
      <c r="O7" s="39">
        <f t="shared" si="6"/>
        <v>0</v>
      </c>
      <c r="P7" s="44">
        <f>O7*F.Emissió!E6</f>
        <v>0</v>
      </c>
      <c r="Q7" s="45">
        <f t="shared" si="7"/>
        <v>0</v>
      </c>
      <c r="R7" s="46">
        <f t="shared" si="8"/>
        <v>0</v>
      </c>
      <c r="S7" s="52">
        <f t="shared" si="9"/>
        <v>0</v>
      </c>
      <c r="T7" s="43">
        <f>H7*L7</f>
        <v>0</v>
      </c>
      <c r="U7" s="39">
        <f t="shared" si="11"/>
        <v>0</v>
      </c>
      <c r="V7" s="44">
        <f>U7*F.Emissió!H6</f>
        <v>0</v>
      </c>
      <c r="W7" s="45">
        <f t="shared" si="12"/>
        <v>0</v>
      </c>
      <c r="X7" s="46">
        <f t="shared" si="13"/>
        <v>0</v>
      </c>
      <c r="Y7" s="52">
        <f t="shared" si="14"/>
        <v>0</v>
      </c>
      <c r="Z7" s="43">
        <f t="shared" si="15"/>
        <v>0</v>
      </c>
      <c r="AA7" s="70">
        <f t="shared" si="16"/>
        <v>0</v>
      </c>
      <c r="AB7" s="52">
        <f t="shared" si="17"/>
        <v>0</v>
      </c>
      <c r="AC7" s="73">
        <f>AA7*F.Emissió!K6</f>
        <v>0</v>
      </c>
      <c r="AD7" s="47">
        <f>F.Distribució!$J$7</f>
        <v>0</v>
      </c>
      <c r="AE7" s="71">
        <f t="shared" si="18"/>
        <v>0</v>
      </c>
      <c r="AF7" s="71">
        <f t="shared" si="19"/>
        <v>0</v>
      </c>
      <c r="AG7" s="67">
        <f t="shared" si="1"/>
        <v>0</v>
      </c>
      <c r="AH7" s="43">
        <f>F.Distribució!K7</f>
        <v>1</v>
      </c>
      <c r="AI7" s="39">
        <f>F.Distribució!L7</f>
        <v>0</v>
      </c>
      <c r="AJ7" s="39">
        <f>F.Distribució!M7</f>
        <v>0</v>
      </c>
      <c r="AK7" s="43">
        <f>F.Distribució!O7</f>
        <v>0</v>
      </c>
      <c r="AL7" s="39">
        <f>F.Distribució!P7</f>
        <v>0</v>
      </c>
      <c r="AM7" s="64">
        <f>F.Distribució!Q7</f>
        <v>0</v>
      </c>
      <c r="AN7" s="39">
        <f t="shared" si="20"/>
        <v>0</v>
      </c>
      <c r="AO7" s="39">
        <f t="shared" si="21"/>
        <v>0</v>
      </c>
      <c r="AP7" s="44">
        <f>AO7*F.Emissió!N6</f>
        <v>0</v>
      </c>
      <c r="AQ7" s="44">
        <f>AO7*F.Emissió!S6</f>
        <v>0</v>
      </c>
      <c r="AR7" s="44">
        <f>AO7*F.Emissió!T6</f>
        <v>0</v>
      </c>
      <c r="AS7" s="44">
        <f>AO7*F.Emissió!U6</f>
        <v>0</v>
      </c>
      <c r="AT7" s="45">
        <f t="shared" si="22"/>
        <v>0</v>
      </c>
      <c r="AU7" s="45">
        <f t="shared" si="23"/>
        <v>0</v>
      </c>
      <c r="AV7" s="247">
        <f t="shared" si="24"/>
        <v>0</v>
      </c>
      <c r="AW7" s="43">
        <f>F.Distribució!S7</f>
        <v>1</v>
      </c>
      <c r="AX7" s="64">
        <f>F.Distribució!T7</f>
        <v>0</v>
      </c>
      <c r="AY7" s="53">
        <f t="shared" si="25"/>
        <v>0</v>
      </c>
      <c r="AZ7" s="53">
        <f t="shared" si="26"/>
        <v>0</v>
      </c>
      <c r="BA7" s="54">
        <f>AZ7*F.Emissió!Q6</f>
        <v>0</v>
      </c>
      <c r="BB7" s="182">
        <f t="shared" si="27"/>
        <v>0</v>
      </c>
      <c r="BC7" s="183">
        <f t="shared" si="28"/>
        <v>0</v>
      </c>
      <c r="BD7" s="184">
        <f t="shared" si="29"/>
        <v>0</v>
      </c>
      <c r="BE7" s="182">
        <f t="shared" si="30"/>
        <v>0</v>
      </c>
      <c r="BF7" s="186">
        <f t="shared" si="31"/>
        <v>0</v>
      </c>
      <c r="BG7" s="193">
        <f t="shared" si="32"/>
        <v>0</v>
      </c>
      <c r="BH7" s="171">
        <f t="shared" si="33"/>
        <v>0</v>
      </c>
      <c r="BI7" s="171">
        <f t="shared" si="34"/>
        <v>0</v>
      </c>
      <c r="BJ7" s="171">
        <f t="shared" si="35"/>
        <v>0</v>
      </c>
      <c r="BK7" s="172">
        <f t="shared" si="36"/>
        <v>0</v>
      </c>
      <c r="BL7" s="172">
        <f t="shared" si="37"/>
        <v>0</v>
      </c>
      <c r="BM7" s="172">
        <f t="shared" si="38"/>
        <v>0</v>
      </c>
      <c r="BN7" s="173">
        <f t="shared" si="2"/>
        <v>0</v>
      </c>
      <c r="BO7"/>
      <c r="BP7" s="299">
        <f>C7*F.Emissió!W6</f>
        <v>0</v>
      </c>
      <c r="BQ7" s="299">
        <f>C7*F.Emissió!X6</f>
        <v>0</v>
      </c>
    </row>
    <row r="8" spans="1:69" s="134" customFormat="1" x14ac:dyDescent="0.3">
      <c r="A8" s="110" t="s">
        <v>360</v>
      </c>
      <c r="B8" s="134" t="s">
        <v>175</v>
      </c>
      <c r="C8" s="152">
        <f>Dades!E$16</f>
        <v>0</v>
      </c>
      <c r="D8" s="226"/>
      <c r="E8" s="227"/>
      <c r="F8" s="428">
        <v>0.34599999999999997</v>
      </c>
      <c r="G8" s="430">
        <v>0.27900000000000003</v>
      </c>
      <c r="H8" s="154">
        <f t="shared" si="0"/>
        <v>0</v>
      </c>
      <c r="I8" s="39">
        <f t="shared" si="3"/>
        <v>0.8063583815028903</v>
      </c>
      <c r="J8" s="39">
        <f t="shared" si="4"/>
        <v>0</v>
      </c>
      <c r="K8" s="43">
        <f>F.Distribució!$E$4</f>
        <v>0</v>
      </c>
      <c r="L8" s="39">
        <f>F.Distribució!$F$8</f>
        <v>0.33329999999999999</v>
      </c>
      <c r="M8" s="64">
        <f>F.Distribució!$G$8</f>
        <v>0.66670000000000007</v>
      </c>
      <c r="N8" s="39">
        <f t="shared" si="5"/>
        <v>0</v>
      </c>
      <c r="O8" s="39">
        <f t="shared" si="6"/>
        <v>0</v>
      </c>
      <c r="P8" s="44">
        <f>O8*F.Emissió!E7</f>
        <v>0</v>
      </c>
      <c r="Q8" s="45">
        <f t="shared" si="7"/>
        <v>0</v>
      </c>
      <c r="R8" s="46">
        <f t="shared" si="8"/>
        <v>0</v>
      </c>
      <c r="S8" s="52">
        <f t="shared" si="9"/>
        <v>0</v>
      </c>
      <c r="T8" s="43">
        <f t="shared" si="10"/>
        <v>0</v>
      </c>
      <c r="U8" s="39">
        <f t="shared" si="11"/>
        <v>0</v>
      </c>
      <c r="V8" s="44">
        <f>U8*F.Emissió!H7</f>
        <v>0</v>
      </c>
      <c r="W8" s="45">
        <f t="shared" si="12"/>
        <v>0</v>
      </c>
      <c r="X8" s="46">
        <f t="shared" si="13"/>
        <v>0</v>
      </c>
      <c r="Y8" s="52">
        <f t="shared" si="14"/>
        <v>0</v>
      </c>
      <c r="Z8" s="43">
        <f t="shared" si="15"/>
        <v>0</v>
      </c>
      <c r="AA8" s="70">
        <f t="shared" si="16"/>
        <v>0</v>
      </c>
      <c r="AB8" s="52">
        <f t="shared" si="17"/>
        <v>0</v>
      </c>
      <c r="AC8" s="73">
        <f>AA8*F.Emissió!K7</f>
        <v>0</v>
      </c>
      <c r="AD8" s="47">
        <f>F.Distribució!$J$8</f>
        <v>0</v>
      </c>
      <c r="AE8" s="71">
        <f t="shared" si="18"/>
        <v>0</v>
      </c>
      <c r="AF8" s="71">
        <f t="shared" si="19"/>
        <v>0</v>
      </c>
      <c r="AG8" s="67">
        <f t="shared" si="1"/>
        <v>0</v>
      </c>
      <c r="AH8" s="43">
        <f>F.Distribució!K8</f>
        <v>1</v>
      </c>
      <c r="AI8" s="39">
        <f>F.Distribució!L8</f>
        <v>0</v>
      </c>
      <c r="AJ8" s="39">
        <f>F.Distribució!M8</f>
        <v>0</v>
      </c>
      <c r="AK8" s="43">
        <f>F.Distribució!O8</f>
        <v>1</v>
      </c>
      <c r="AL8" s="39">
        <f>F.Distribució!P8</f>
        <v>0</v>
      </c>
      <c r="AM8" s="64">
        <f>F.Distribució!Q8</f>
        <v>0</v>
      </c>
      <c r="AN8" s="39">
        <f t="shared" si="20"/>
        <v>0</v>
      </c>
      <c r="AO8" s="39">
        <f t="shared" si="21"/>
        <v>0</v>
      </c>
      <c r="AP8" s="44">
        <f>AO8*F.Emissió!N7</f>
        <v>0</v>
      </c>
      <c r="AQ8" s="44">
        <f>AO8*F.Emissió!S7</f>
        <v>0</v>
      </c>
      <c r="AR8" s="44">
        <f>AO8*F.Emissió!T7</f>
        <v>0</v>
      </c>
      <c r="AS8" s="44">
        <f>AO8*F.Emissió!U7</f>
        <v>0</v>
      </c>
      <c r="AT8" s="45">
        <f t="shared" si="22"/>
        <v>0</v>
      </c>
      <c r="AU8" s="45">
        <f t="shared" si="23"/>
        <v>0</v>
      </c>
      <c r="AV8" s="247">
        <f t="shared" si="24"/>
        <v>0</v>
      </c>
      <c r="AW8" s="43">
        <f>F.Distribució!S8</f>
        <v>1</v>
      </c>
      <c r="AX8" s="64">
        <f>F.Distribució!T8</f>
        <v>0</v>
      </c>
      <c r="AY8" s="53">
        <f t="shared" si="25"/>
        <v>0</v>
      </c>
      <c r="AZ8" s="53">
        <f t="shared" si="26"/>
        <v>0</v>
      </c>
      <c r="BA8" s="54">
        <f>AZ8*F.Emissió!Q7</f>
        <v>0</v>
      </c>
      <c r="BB8" s="182">
        <f t="shared" si="27"/>
        <v>0</v>
      </c>
      <c r="BC8" s="183">
        <f t="shared" si="28"/>
        <v>0</v>
      </c>
      <c r="BD8" s="184">
        <f t="shared" si="29"/>
        <v>0</v>
      </c>
      <c r="BE8" s="182">
        <f t="shared" si="30"/>
        <v>0</v>
      </c>
      <c r="BF8" s="186">
        <f t="shared" si="31"/>
        <v>0</v>
      </c>
      <c r="BG8" s="193">
        <f t="shared" si="32"/>
        <v>0</v>
      </c>
      <c r="BH8" s="171">
        <f>BA8+AP8+AC8+V8+P8</f>
        <v>0</v>
      </c>
      <c r="BI8" s="171">
        <f t="shared" si="34"/>
        <v>0</v>
      </c>
      <c r="BJ8" s="171">
        <f t="shared" si="35"/>
        <v>0</v>
      </c>
      <c r="BK8" s="172">
        <f t="shared" si="36"/>
        <v>0</v>
      </c>
      <c r="BL8" s="172">
        <f t="shared" si="37"/>
        <v>0</v>
      </c>
      <c r="BM8" s="172">
        <f t="shared" si="38"/>
        <v>0</v>
      </c>
      <c r="BN8" s="173">
        <f t="shared" si="2"/>
        <v>0</v>
      </c>
      <c r="BO8"/>
      <c r="BP8" s="299">
        <f>C8*F.Emissió!W7</f>
        <v>0</v>
      </c>
      <c r="BQ8" s="299">
        <f>C8*F.Emissió!X7</f>
        <v>0</v>
      </c>
    </row>
    <row r="9" spans="1:69" s="134" customFormat="1" x14ac:dyDescent="0.3">
      <c r="A9" s="110" t="s">
        <v>360</v>
      </c>
      <c r="B9" s="134" t="s">
        <v>178</v>
      </c>
      <c r="C9" s="152">
        <f>Dades!E$18</f>
        <v>0</v>
      </c>
      <c r="D9" s="226"/>
      <c r="E9" s="227"/>
      <c r="F9" s="428">
        <v>0.64300000000000002</v>
      </c>
      <c r="G9" s="430">
        <v>0.495</v>
      </c>
      <c r="H9" s="154">
        <f t="shared" si="0"/>
        <v>0</v>
      </c>
      <c r="I9" s="39">
        <f t="shared" si="3"/>
        <v>0.76982892690513216</v>
      </c>
      <c r="J9" s="39">
        <f t="shared" si="4"/>
        <v>0</v>
      </c>
      <c r="K9" s="43">
        <f>F.Distribució!$E$4</f>
        <v>0</v>
      </c>
      <c r="L9" s="39">
        <f>F.Distribució!$F$9</f>
        <v>0.33329999999999999</v>
      </c>
      <c r="M9" s="64">
        <f>F.Distribució!$G$9</f>
        <v>0.66670000000000007</v>
      </c>
      <c r="N9" s="39">
        <f t="shared" si="5"/>
        <v>0</v>
      </c>
      <c r="O9" s="39">
        <f t="shared" si="6"/>
        <v>0</v>
      </c>
      <c r="P9" s="44">
        <f>O9*F.Emissió!E8</f>
        <v>0</v>
      </c>
      <c r="Q9" s="45">
        <f t="shared" si="7"/>
        <v>0</v>
      </c>
      <c r="R9" s="46">
        <f t="shared" si="8"/>
        <v>0</v>
      </c>
      <c r="S9" s="52">
        <f t="shared" si="9"/>
        <v>0</v>
      </c>
      <c r="T9" s="43">
        <f t="shared" si="10"/>
        <v>0</v>
      </c>
      <c r="U9" s="39">
        <f t="shared" si="11"/>
        <v>0</v>
      </c>
      <c r="V9" s="44">
        <f>U9*F.Emissió!H8</f>
        <v>0</v>
      </c>
      <c r="W9" s="45">
        <f t="shared" si="12"/>
        <v>0</v>
      </c>
      <c r="X9" s="46">
        <f t="shared" si="13"/>
        <v>0</v>
      </c>
      <c r="Y9" s="52">
        <f t="shared" si="14"/>
        <v>0</v>
      </c>
      <c r="Z9" s="43">
        <f t="shared" si="15"/>
        <v>0</v>
      </c>
      <c r="AA9" s="70">
        <f t="shared" si="16"/>
        <v>0</v>
      </c>
      <c r="AB9" s="52">
        <f t="shared" si="17"/>
        <v>0</v>
      </c>
      <c r="AC9" s="73">
        <f>AA9*F.Emissió!K8</f>
        <v>0</v>
      </c>
      <c r="AD9" s="47">
        <f>F.Distribució!$J$9</f>
        <v>0</v>
      </c>
      <c r="AE9" s="71">
        <f t="shared" si="18"/>
        <v>0</v>
      </c>
      <c r="AF9" s="71">
        <f t="shared" si="19"/>
        <v>0</v>
      </c>
      <c r="AG9" s="67">
        <f t="shared" si="1"/>
        <v>0</v>
      </c>
      <c r="AH9" s="43">
        <f>F.Distribució!K9</f>
        <v>1</v>
      </c>
      <c r="AI9" s="39">
        <f>F.Distribució!L9</f>
        <v>0</v>
      </c>
      <c r="AJ9" s="39">
        <f>F.Distribució!M9</f>
        <v>0</v>
      </c>
      <c r="AK9" s="43">
        <f>F.Distribució!O9</f>
        <v>1</v>
      </c>
      <c r="AL9" s="39">
        <f>F.Distribució!P9</f>
        <v>0</v>
      </c>
      <c r="AM9" s="64">
        <f>F.Distribució!Q9</f>
        <v>0</v>
      </c>
      <c r="AN9" s="39">
        <f t="shared" si="20"/>
        <v>0</v>
      </c>
      <c r="AO9" s="39">
        <f t="shared" si="21"/>
        <v>0</v>
      </c>
      <c r="AP9" s="44">
        <f>AO9*F.Emissió!N8</f>
        <v>0</v>
      </c>
      <c r="AQ9" s="44">
        <f>AO9*F.Emissió!S8</f>
        <v>0</v>
      </c>
      <c r="AR9" s="44">
        <f>AO9*F.Emissió!T8</f>
        <v>0</v>
      </c>
      <c r="AS9" s="44">
        <f>AO9*F.Emissió!U8</f>
        <v>0</v>
      </c>
      <c r="AT9" s="45">
        <f t="shared" si="22"/>
        <v>0</v>
      </c>
      <c r="AU9" s="45">
        <f t="shared" si="23"/>
        <v>0</v>
      </c>
      <c r="AV9" s="247">
        <f t="shared" si="24"/>
        <v>0</v>
      </c>
      <c r="AW9" s="43">
        <f>F.Distribució!S9</f>
        <v>1</v>
      </c>
      <c r="AX9" s="64">
        <f>F.Distribució!T9</f>
        <v>0</v>
      </c>
      <c r="AY9" s="53">
        <f t="shared" si="25"/>
        <v>0</v>
      </c>
      <c r="AZ9" s="53">
        <f t="shared" si="26"/>
        <v>0</v>
      </c>
      <c r="BA9" s="54">
        <f>AZ9*F.Emissió!Q8</f>
        <v>0</v>
      </c>
      <c r="BB9" s="182">
        <f t="shared" si="27"/>
        <v>0</v>
      </c>
      <c r="BC9" s="183">
        <f t="shared" si="28"/>
        <v>0</v>
      </c>
      <c r="BD9" s="184">
        <f t="shared" si="29"/>
        <v>0</v>
      </c>
      <c r="BE9" s="182">
        <f t="shared" si="30"/>
        <v>0</v>
      </c>
      <c r="BF9" s="186">
        <f t="shared" si="31"/>
        <v>0</v>
      </c>
      <c r="BG9" s="193">
        <f t="shared" si="32"/>
        <v>0</v>
      </c>
      <c r="BH9" s="171">
        <f t="shared" si="33"/>
        <v>0</v>
      </c>
      <c r="BI9" s="171">
        <f t="shared" si="34"/>
        <v>0</v>
      </c>
      <c r="BJ9" s="171">
        <f t="shared" si="35"/>
        <v>0</v>
      </c>
      <c r="BK9" s="172">
        <f t="shared" si="36"/>
        <v>0</v>
      </c>
      <c r="BL9" s="172">
        <f t="shared" si="37"/>
        <v>0</v>
      </c>
      <c r="BM9" s="172">
        <f t="shared" si="38"/>
        <v>0</v>
      </c>
      <c r="BN9" s="173">
        <f t="shared" si="2"/>
        <v>0</v>
      </c>
      <c r="BO9"/>
      <c r="BP9" s="299">
        <f>C9*F.Emissió!W8</f>
        <v>0</v>
      </c>
      <c r="BQ9" s="299">
        <f>C9*F.Emissió!X8</f>
        <v>0</v>
      </c>
    </row>
    <row r="10" spans="1:69" s="134" customFormat="1" x14ac:dyDescent="0.3">
      <c r="A10" s="201" t="s">
        <v>361</v>
      </c>
      <c r="B10" s="202" t="s">
        <v>179</v>
      </c>
      <c r="C10" s="152">
        <f>Dades!E$24</f>
        <v>0</v>
      </c>
      <c r="D10" s="223">
        <v>5.79</v>
      </c>
      <c r="E10" s="228">
        <f>C4*D10</f>
        <v>0</v>
      </c>
      <c r="F10" s="431">
        <v>0.43999999999999995</v>
      </c>
      <c r="G10" s="432">
        <v>0.32933333333333337</v>
      </c>
      <c r="H10" s="154">
        <f t="shared" si="0"/>
        <v>0</v>
      </c>
      <c r="I10" s="39">
        <f t="shared" si="3"/>
        <v>0.74848484848484864</v>
      </c>
      <c r="J10" s="39">
        <f>C10*G10</f>
        <v>0</v>
      </c>
      <c r="K10" s="43">
        <f>F.Distribució!$E$4</f>
        <v>0</v>
      </c>
      <c r="L10" s="39">
        <f>F.Distribució!$F$10</f>
        <v>0</v>
      </c>
      <c r="M10" s="64">
        <f>F.Distribució!$G$10</f>
        <v>1</v>
      </c>
      <c r="N10" s="39">
        <f t="shared" si="5"/>
        <v>0</v>
      </c>
      <c r="O10" s="39">
        <f t="shared" si="6"/>
        <v>0</v>
      </c>
      <c r="P10" s="44">
        <f>O10*F.Emissió!E9</f>
        <v>0</v>
      </c>
      <c r="Q10" s="45">
        <f t="shared" si="7"/>
        <v>0</v>
      </c>
      <c r="R10" s="46">
        <f t="shared" si="8"/>
        <v>0</v>
      </c>
      <c r="S10" s="52">
        <f t="shared" si="9"/>
        <v>0</v>
      </c>
      <c r="T10" s="43">
        <f t="shared" si="10"/>
        <v>0</v>
      </c>
      <c r="U10" s="39">
        <f t="shared" si="11"/>
        <v>0</v>
      </c>
      <c r="V10" s="44">
        <f>U10*F.Emissió!H9</f>
        <v>0</v>
      </c>
      <c r="W10" s="45">
        <f t="shared" si="12"/>
        <v>0</v>
      </c>
      <c r="X10" s="46">
        <f t="shared" si="13"/>
        <v>0</v>
      </c>
      <c r="Y10" s="52">
        <f t="shared" si="14"/>
        <v>0</v>
      </c>
      <c r="Z10" s="43">
        <f t="shared" si="15"/>
        <v>0</v>
      </c>
      <c r="AA10" s="70">
        <f t="shared" si="16"/>
        <v>0</v>
      </c>
      <c r="AB10" s="52">
        <f t="shared" si="17"/>
        <v>0</v>
      </c>
      <c r="AC10" s="73">
        <f>AA10*F.Emissió!K9</f>
        <v>0</v>
      </c>
      <c r="AD10" s="47">
        <f>F.Distribució!$J$10</f>
        <v>0</v>
      </c>
      <c r="AE10" s="71">
        <f t="shared" si="18"/>
        <v>0</v>
      </c>
      <c r="AF10" s="71">
        <f t="shared" si="19"/>
        <v>0</v>
      </c>
      <c r="AG10" s="67">
        <f t="shared" si="1"/>
        <v>0</v>
      </c>
      <c r="AH10" s="43">
        <f>F.Distribució!K10</f>
        <v>1</v>
      </c>
      <c r="AI10" s="39">
        <f>F.Distribució!L10</f>
        <v>0</v>
      </c>
      <c r="AJ10" s="39">
        <f>F.Distribució!M10</f>
        <v>0</v>
      </c>
      <c r="AK10" s="43">
        <f>F.Distribució!O10</f>
        <v>0</v>
      </c>
      <c r="AL10" s="39">
        <f>F.Distribució!P10</f>
        <v>0</v>
      </c>
      <c r="AM10" s="64">
        <f>F.Distribució!Q10</f>
        <v>0</v>
      </c>
      <c r="AN10" s="39">
        <f t="shared" si="20"/>
        <v>0</v>
      </c>
      <c r="AO10" s="39">
        <f t="shared" si="21"/>
        <v>0</v>
      </c>
      <c r="AP10" s="44">
        <f>AO10*F.Emissió!N9</f>
        <v>0</v>
      </c>
      <c r="AQ10" s="44">
        <f>AO10*F.Emissió!S9</f>
        <v>0</v>
      </c>
      <c r="AR10" s="44">
        <f>AO10*F.Emissió!T9</f>
        <v>0</v>
      </c>
      <c r="AS10" s="44">
        <f>AO10*F.Emissió!U9</f>
        <v>0</v>
      </c>
      <c r="AT10" s="45">
        <f t="shared" si="22"/>
        <v>0</v>
      </c>
      <c r="AU10" s="45">
        <f t="shared" si="23"/>
        <v>0</v>
      </c>
      <c r="AV10" s="247">
        <f t="shared" si="24"/>
        <v>0</v>
      </c>
      <c r="AW10" s="43">
        <f>F.Distribució!S10</f>
        <v>1</v>
      </c>
      <c r="AX10" s="64">
        <f>F.Distribució!T10</f>
        <v>0</v>
      </c>
      <c r="AY10" s="53">
        <f t="shared" si="25"/>
        <v>0</v>
      </c>
      <c r="AZ10" s="53">
        <f>AU10*AW10+AF10*AI10+X10*AL10</f>
        <v>0</v>
      </c>
      <c r="BA10" s="54">
        <f>AZ10*F.Emissió!Q9</f>
        <v>0</v>
      </c>
      <c r="BB10" s="182">
        <f t="shared" si="27"/>
        <v>0</v>
      </c>
      <c r="BC10" s="183">
        <f t="shared" si="28"/>
        <v>0</v>
      </c>
      <c r="BD10" s="184">
        <f t="shared" si="29"/>
        <v>0</v>
      </c>
      <c r="BE10" s="182">
        <f t="shared" si="30"/>
        <v>0</v>
      </c>
      <c r="BF10" s="186">
        <f t="shared" si="31"/>
        <v>0</v>
      </c>
      <c r="BG10" s="193">
        <f t="shared" si="32"/>
        <v>0</v>
      </c>
      <c r="BH10" s="171">
        <f t="shared" si="33"/>
        <v>0</v>
      </c>
      <c r="BI10" s="171">
        <f t="shared" si="34"/>
        <v>0</v>
      </c>
      <c r="BJ10" s="171">
        <f t="shared" si="35"/>
        <v>0</v>
      </c>
      <c r="BK10" s="172">
        <f t="shared" si="36"/>
        <v>0</v>
      </c>
      <c r="BL10" s="172">
        <f t="shared" si="37"/>
        <v>0</v>
      </c>
      <c r="BM10" s="172">
        <f t="shared" si="38"/>
        <v>0</v>
      </c>
      <c r="BN10" s="173">
        <f t="shared" si="2"/>
        <v>0</v>
      </c>
      <c r="BO10"/>
      <c r="BP10" s="299">
        <f>C10*F.Emissió!W9</f>
        <v>0</v>
      </c>
      <c r="BQ10" s="299">
        <f>C10*F.Emissió!X9</f>
        <v>0</v>
      </c>
    </row>
    <row r="11" spans="1:69" s="134" customFormat="1" x14ac:dyDescent="0.3">
      <c r="A11" s="201" t="s">
        <v>361</v>
      </c>
      <c r="B11" s="202" t="s">
        <v>180</v>
      </c>
      <c r="C11" s="152">
        <f>Dades!E$26</f>
        <v>0</v>
      </c>
      <c r="D11" s="224">
        <v>2</v>
      </c>
      <c r="E11" s="198">
        <f>C5*D11</f>
        <v>0</v>
      </c>
      <c r="F11" s="431">
        <v>0.30615384615384617</v>
      </c>
      <c r="G11" s="432">
        <v>0.24153846153846154</v>
      </c>
      <c r="H11" s="154">
        <f t="shared" si="0"/>
        <v>0</v>
      </c>
      <c r="I11" s="39">
        <f>G11/F11</f>
        <v>0.78894472361809043</v>
      </c>
      <c r="J11" s="39">
        <f t="shared" si="4"/>
        <v>0</v>
      </c>
      <c r="K11" s="43">
        <f>F.Distribució!$E$4</f>
        <v>0</v>
      </c>
      <c r="L11" s="39">
        <f>F.Distribució!$F$11</f>
        <v>0</v>
      </c>
      <c r="M11" s="64">
        <f>F.Distribució!$G$11</f>
        <v>1</v>
      </c>
      <c r="N11" s="39">
        <f t="shared" si="5"/>
        <v>0</v>
      </c>
      <c r="O11" s="39">
        <f t="shared" si="6"/>
        <v>0</v>
      </c>
      <c r="P11" s="44">
        <f>O11*F.Emissió!E10</f>
        <v>0</v>
      </c>
      <c r="Q11" s="45">
        <f t="shared" si="7"/>
        <v>0</v>
      </c>
      <c r="R11" s="46">
        <f t="shared" si="8"/>
        <v>0</v>
      </c>
      <c r="S11" s="52">
        <f t="shared" si="9"/>
        <v>0</v>
      </c>
      <c r="T11" s="43">
        <f t="shared" si="10"/>
        <v>0</v>
      </c>
      <c r="U11" s="39">
        <f t="shared" si="11"/>
        <v>0</v>
      </c>
      <c r="V11" s="44">
        <f>U11*F.Emissió!H10</f>
        <v>0</v>
      </c>
      <c r="W11" s="45">
        <f t="shared" si="12"/>
        <v>0</v>
      </c>
      <c r="X11" s="46">
        <f t="shared" si="13"/>
        <v>0</v>
      </c>
      <c r="Y11" s="52">
        <f t="shared" si="14"/>
        <v>0</v>
      </c>
      <c r="Z11" s="43">
        <f t="shared" si="15"/>
        <v>0</v>
      </c>
      <c r="AA11" s="70">
        <f t="shared" si="16"/>
        <v>0</v>
      </c>
      <c r="AB11" s="52">
        <f t="shared" si="17"/>
        <v>0</v>
      </c>
      <c r="AC11" s="73">
        <f>AA11*F.Emissió!K10</f>
        <v>0</v>
      </c>
      <c r="AD11" s="47">
        <f>F.Distribució!$J$11</f>
        <v>0</v>
      </c>
      <c r="AE11" s="71">
        <f t="shared" si="18"/>
        <v>0</v>
      </c>
      <c r="AF11" s="71">
        <f t="shared" si="19"/>
        <v>0</v>
      </c>
      <c r="AG11" s="67">
        <f t="shared" si="1"/>
        <v>0</v>
      </c>
      <c r="AH11" s="43">
        <f>F.Distribució!K11</f>
        <v>1</v>
      </c>
      <c r="AI11" s="39">
        <f>F.Distribució!L11</f>
        <v>0</v>
      </c>
      <c r="AJ11" s="39">
        <f>F.Distribució!M11</f>
        <v>0</v>
      </c>
      <c r="AK11" s="43">
        <f>F.Distribució!O11</f>
        <v>0</v>
      </c>
      <c r="AL11" s="39">
        <f>F.Distribució!P11</f>
        <v>0</v>
      </c>
      <c r="AM11" s="64">
        <f>F.Distribució!Q11</f>
        <v>0</v>
      </c>
      <c r="AN11" s="39">
        <f t="shared" si="20"/>
        <v>0</v>
      </c>
      <c r="AO11" s="39">
        <f t="shared" si="21"/>
        <v>0</v>
      </c>
      <c r="AP11" s="44">
        <f>AO11*F.Emissió!N10</f>
        <v>0</v>
      </c>
      <c r="AQ11" s="44">
        <f>AO11*F.Emissió!S10</f>
        <v>0</v>
      </c>
      <c r="AR11" s="44">
        <f>AO11*F.Emissió!T10</f>
        <v>0</v>
      </c>
      <c r="AS11" s="44">
        <f>AO11*F.Emissió!U10</f>
        <v>0</v>
      </c>
      <c r="AT11" s="45">
        <f t="shared" si="22"/>
        <v>0</v>
      </c>
      <c r="AU11" s="45">
        <f t="shared" si="23"/>
        <v>0</v>
      </c>
      <c r="AV11" s="247">
        <f t="shared" si="24"/>
        <v>0</v>
      </c>
      <c r="AW11" s="43">
        <f>F.Distribució!S11</f>
        <v>1</v>
      </c>
      <c r="AX11" s="64">
        <f>F.Distribució!T11</f>
        <v>0</v>
      </c>
      <c r="AY11" s="53">
        <f t="shared" si="25"/>
        <v>0</v>
      </c>
      <c r="AZ11" s="53">
        <f t="shared" si="26"/>
        <v>0</v>
      </c>
      <c r="BA11" s="54">
        <f>AZ11*F.Emissió!Q10</f>
        <v>0</v>
      </c>
      <c r="BB11" s="182">
        <f t="shared" si="27"/>
        <v>0</v>
      </c>
      <c r="BC11" s="183">
        <f t="shared" si="28"/>
        <v>0</v>
      </c>
      <c r="BD11" s="184">
        <f t="shared" si="29"/>
        <v>0</v>
      </c>
      <c r="BE11" s="182">
        <f t="shared" si="30"/>
        <v>0</v>
      </c>
      <c r="BF11" s="186">
        <f t="shared" si="31"/>
        <v>0</v>
      </c>
      <c r="BG11" s="193">
        <f t="shared" si="32"/>
        <v>0</v>
      </c>
      <c r="BH11" s="171">
        <f t="shared" si="33"/>
        <v>0</v>
      </c>
      <c r="BI11" s="171">
        <f t="shared" si="34"/>
        <v>0</v>
      </c>
      <c r="BJ11" s="171">
        <f t="shared" si="35"/>
        <v>0</v>
      </c>
      <c r="BK11" s="172">
        <f t="shared" si="36"/>
        <v>0</v>
      </c>
      <c r="BL11" s="172">
        <f t="shared" si="37"/>
        <v>0</v>
      </c>
      <c r="BM11" s="172">
        <f t="shared" si="38"/>
        <v>0</v>
      </c>
      <c r="BN11" s="173">
        <f t="shared" si="2"/>
        <v>0</v>
      </c>
      <c r="BO11"/>
      <c r="BP11" s="299">
        <f>C11*F.Emissió!W10</f>
        <v>0</v>
      </c>
      <c r="BQ11" s="299">
        <f>C11*F.Emissió!X10</f>
        <v>0</v>
      </c>
    </row>
    <row r="12" spans="1:69" s="134" customFormat="1" x14ac:dyDescent="0.3">
      <c r="A12" s="201" t="s">
        <v>361</v>
      </c>
      <c r="B12" s="202" t="s">
        <v>181</v>
      </c>
      <c r="C12" s="152">
        <f>Dades!E$28</f>
        <v>0</v>
      </c>
      <c r="D12" s="225">
        <v>1</v>
      </c>
      <c r="E12" s="229">
        <f>C6*D12</f>
        <v>0</v>
      </c>
      <c r="F12" s="431">
        <v>0.79118019801980188</v>
      </c>
      <c r="G12" s="432">
        <v>0.63311881188118802</v>
      </c>
      <c r="H12" s="154">
        <f t="shared" si="0"/>
        <v>0</v>
      </c>
      <c r="I12" s="39">
        <f t="shared" si="3"/>
        <v>0.80022075055187636</v>
      </c>
      <c r="J12" s="39">
        <f>H12*I12</f>
        <v>0</v>
      </c>
      <c r="K12" s="43">
        <f>F.Distribució!$E$4</f>
        <v>0</v>
      </c>
      <c r="L12" s="39">
        <f>F.Distribució!$F$12</f>
        <v>0</v>
      </c>
      <c r="M12" s="64">
        <f>F.Distribució!$G$12</f>
        <v>1</v>
      </c>
      <c r="N12" s="39">
        <f t="shared" si="5"/>
        <v>0</v>
      </c>
      <c r="O12" s="39">
        <f t="shared" si="6"/>
        <v>0</v>
      </c>
      <c r="P12" s="44">
        <f>O12*F.Emissió!E11</f>
        <v>0</v>
      </c>
      <c r="Q12" s="45">
        <f t="shared" si="7"/>
        <v>0</v>
      </c>
      <c r="R12" s="46">
        <f t="shared" si="8"/>
        <v>0</v>
      </c>
      <c r="S12" s="52">
        <f t="shared" si="9"/>
        <v>0</v>
      </c>
      <c r="T12" s="43">
        <f t="shared" si="10"/>
        <v>0</v>
      </c>
      <c r="U12" s="39">
        <f t="shared" si="11"/>
        <v>0</v>
      </c>
      <c r="V12" s="44">
        <f>U12*F.Emissió!H11</f>
        <v>0</v>
      </c>
      <c r="W12" s="45">
        <f t="shared" si="12"/>
        <v>0</v>
      </c>
      <c r="X12" s="46">
        <f t="shared" si="13"/>
        <v>0</v>
      </c>
      <c r="Y12" s="52">
        <f t="shared" si="14"/>
        <v>0</v>
      </c>
      <c r="Z12" s="43">
        <f t="shared" si="15"/>
        <v>0</v>
      </c>
      <c r="AA12" s="70">
        <f t="shared" si="16"/>
        <v>0</v>
      </c>
      <c r="AB12" s="52">
        <f t="shared" si="17"/>
        <v>0</v>
      </c>
      <c r="AC12" s="73">
        <f>AA12*F.Emissió!K11</f>
        <v>0</v>
      </c>
      <c r="AD12" s="47">
        <f>F.Distribució!$J$12</f>
        <v>0</v>
      </c>
      <c r="AE12" s="71">
        <f t="shared" si="18"/>
        <v>0</v>
      </c>
      <c r="AF12" s="71">
        <f t="shared" si="19"/>
        <v>0</v>
      </c>
      <c r="AG12" s="67">
        <f t="shared" si="1"/>
        <v>0</v>
      </c>
      <c r="AH12" s="43">
        <f>F.Distribució!K12</f>
        <v>1</v>
      </c>
      <c r="AI12" s="39">
        <f>F.Distribució!L12</f>
        <v>0</v>
      </c>
      <c r="AJ12" s="39">
        <f>F.Distribució!M12</f>
        <v>0</v>
      </c>
      <c r="AK12" s="43">
        <f>F.Distribució!O12</f>
        <v>0</v>
      </c>
      <c r="AL12" s="39">
        <f>F.Distribució!P12</f>
        <v>0</v>
      </c>
      <c r="AM12" s="64">
        <f>F.Distribució!Q12</f>
        <v>0</v>
      </c>
      <c r="AN12" s="39">
        <f t="shared" si="20"/>
        <v>0</v>
      </c>
      <c r="AO12" s="39">
        <f t="shared" si="21"/>
        <v>0</v>
      </c>
      <c r="AP12" s="44">
        <f>AO12*F.Emissió!N11</f>
        <v>0</v>
      </c>
      <c r="AQ12" s="44">
        <f>AO12*F.Emissió!S11</f>
        <v>0</v>
      </c>
      <c r="AR12" s="44">
        <f>AO12*F.Emissió!T11</f>
        <v>0</v>
      </c>
      <c r="AS12" s="44">
        <f>AO12*F.Emissió!U11</f>
        <v>0</v>
      </c>
      <c r="AT12" s="45">
        <f t="shared" si="22"/>
        <v>0</v>
      </c>
      <c r="AU12" s="45">
        <f t="shared" si="23"/>
        <v>0</v>
      </c>
      <c r="AV12" s="247">
        <f t="shared" si="24"/>
        <v>0</v>
      </c>
      <c r="AW12" s="43">
        <f>F.Distribució!S12</f>
        <v>1</v>
      </c>
      <c r="AX12" s="64">
        <f>F.Distribució!T12</f>
        <v>0</v>
      </c>
      <c r="AY12" s="53">
        <f t="shared" si="25"/>
        <v>0</v>
      </c>
      <c r="AZ12" s="53">
        <f t="shared" si="26"/>
        <v>0</v>
      </c>
      <c r="BA12" s="54">
        <f>AZ12*F.Emissió!Q11</f>
        <v>0</v>
      </c>
      <c r="BB12" s="182">
        <f t="shared" si="27"/>
        <v>0</v>
      </c>
      <c r="BC12" s="183">
        <f t="shared" si="28"/>
        <v>0</v>
      </c>
      <c r="BD12" s="184">
        <f t="shared" si="29"/>
        <v>0</v>
      </c>
      <c r="BE12" s="182">
        <f t="shared" si="30"/>
        <v>0</v>
      </c>
      <c r="BF12" s="186">
        <f t="shared" si="31"/>
        <v>0</v>
      </c>
      <c r="BG12" s="193">
        <f t="shared" si="32"/>
        <v>0</v>
      </c>
      <c r="BH12" s="171">
        <f t="shared" si="33"/>
        <v>0</v>
      </c>
      <c r="BI12" s="171">
        <f t="shared" si="34"/>
        <v>0</v>
      </c>
      <c r="BJ12" s="171">
        <f t="shared" si="35"/>
        <v>0</v>
      </c>
      <c r="BK12" s="172">
        <f t="shared" si="36"/>
        <v>0</v>
      </c>
      <c r="BL12" s="172">
        <f t="shared" si="37"/>
        <v>0</v>
      </c>
      <c r="BM12" s="172">
        <f t="shared" si="38"/>
        <v>0</v>
      </c>
      <c r="BN12" s="173">
        <f t="shared" si="2"/>
        <v>0</v>
      </c>
      <c r="BO12"/>
      <c r="BP12" s="299">
        <f>C12*F.Emissió!W11</f>
        <v>0</v>
      </c>
      <c r="BQ12" s="299">
        <f>C12*F.Emissió!X11</f>
        <v>0</v>
      </c>
    </row>
    <row r="13" spans="1:69" ht="21.75" customHeight="1" x14ac:dyDescent="0.3">
      <c r="A13" s="76" t="s">
        <v>117</v>
      </c>
      <c r="B13" s="77"/>
      <c r="C13" s="170">
        <f>SUM(C4:C12)</f>
        <v>0</v>
      </c>
      <c r="D13" s="163"/>
      <c r="E13" s="170">
        <f>SUM(E4:E12)</f>
        <v>0</v>
      </c>
      <c r="F13" s="82"/>
      <c r="G13" s="155"/>
      <c r="H13" s="169">
        <f>SUM(H4:H12)</f>
        <v>0</v>
      </c>
      <c r="I13" s="82"/>
      <c r="J13" s="156">
        <f>SUM(J4:J12)</f>
        <v>0</v>
      </c>
      <c r="K13" s="86"/>
      <c r="L13" s="83"/>
      <c r="M13" s="156"/>
      <c r="N13" s="78">
        <f t="shared" ref="N13:R13" si="39">SUM(N4:N12)</f>
        <v>0</v>
      </c>
      <c r="O13" s="78">
        <f t="shared" si="39"/>
        <v>0</v>
      </c>
      <c r="P13" s="79">
        <f t="shared" si="39"/>
        <v>0</v>
      </c>
      <c r="Q13" s="80">
        <f t="shared" si="39"/>
        <v>0</v>
      </c>
      <c r="R13" s="80">
        <f t="shared" si="39"/>
        <v>0</v>
      </c>
      <c r="S13" s="81"/>
      <c r="T13" s="78">
        <f>SUM(T4:T12)</f>
        <v>0</v>
      </c>
      <c r="U13" s="78">
        <f>SUM(U4:U12)</f>
        <v>0</v>
      </c>
      <c r="V13" s="79">
        <f>SUM(V4:V12)</f>
        <v>0</v>
      </c>
      <c r="W13" s="80">
        <f>SUM(W4:W12)</f>
        <v>0</v>
      </c>
      <c r="X13" s="80">
        <f>SUM(X4:X12)</f>
        <v>0</v>
      </c>
      <c r="Y13" s="81"/>
      <c r="Z13" s="133">
        <f>SUM(Z4:Z12)</f>
        <v>0</v>
      </c>
      <c r="AA13" s="84">
        <f>SUM(AA4:AA12)</f>
        <v>0</v>
      </c>
      <c r="AB13" s="160"/>
      <c r="AC13" s="89">
        <f>SUM(AC4:AC12)</f>
        <v>0</v>
      </c>
      <c r="AE13" s="178">
        <f>SUM(AE4:AE12)</f>
        <v>0</v>
      </c>
      <c r="AF13" s="85">
        <f>SUM(AF4:AF12)</f>
        <v>0</v>
      </c>
      <c r="AG13" s="81"/>
      <c r="AH13" s="179"/>
      <c r="AI13" s="180"/>
      <c r="AJ13" s="181"/>
      <c r="AK13" s="163"/>
      <c r="AL13" s="164"/>
      <c r="AM13" s="165"/>
      <c r="AN13" s="162">
        <f t="shared" ref="AN13:AV13" si="40">SUM(AN4:AN12)</f>
        <v>0</v>
      </c>
      <c r="AO13" s="78">
        <f t="shared" si="40"/>
        <v>0</v>
      </c>
      <c r="AP13" s="79">
        <f t="shared" si="40"/>
        <v>0</v>
      </c>
      <c r="AQ13" s="79">
        <f t="shared" si="40"/>
        <v>0</v>
      </c>
      <c r="AR13" s="79">
        <f t="shared" si="40"/>
        <v>0</v>
      </c>
      <c r="AS13" s="79">
        <f t="shared" si="40"/>
        <v>0</v>
      </c>
      <c r="AT13" s="80">
        <f t="shared" si="40"/>
        <v>0</v>
      </c>
      <c r="AU13" s="80">
        <f t="shared" si="40"/>
        <v>0</v>
      </c>
      <c r="AV13" s="248">
        <f t="shared" si="40"/>
        <v>0</v>
      </c>
      <c r="AW13" s="86"/>
      <c r="AX13" s="87"/>
      <c r="AY13" s="162">
        <f t="shared" ref="AY13:BK13" si="41">SUM(AY4:AY12)</f>
        <v>0</v>
      </c>
      <c r="AZ13" s="78">
        <f t="shared" si="41"/>
        <v>0</v>
      </c>
      <c r="BA13" s="88">
        <f t="shared" si="41"/>
        <v>0</v>
      </c>
      <c r="BB13" s="187">
        <f t="shared" si="41"/>
        <v>0</v>
      </c>
      <c r="BC13" s="188">
        <f t="shared" si="41"/>
        <v>0</v>
      </c>
      <c r="BD13" s="189">
        <f t="shared" si="41"/>
        <v>0</v>
      </c>
      <c r="BE13" s="188">
        <f t="shared" si="41"/>
        <v>0</v>
      </c>
      <c r="BF13" s="190">
        <f t="shared" si="41"/>
        <v>0</v>
      </c>
      <c r="BG13" s="191">
        <f t="shared" si="41"/>
        <v>0</v>
      </c>
      <c r="BH13" s="194">
        <f t="shared" si="41"/>
        <v>0</v>
      </c>
      <c r="BI13" s="174">
        <f t="shared" si="41"/>
        <v>0</v>
      </c>
      <c r="BJ13" s="174">
        <f t="shared" si="41"/>
        <v>0</v>
      </c>
      <c r="BK13" s="175">
        <f t="shared" si="41"/>
        <v>0</v>
      </c>
      <c r="BL13" s="175">
        <f>SUM(BH13:BK13)</f>
        <v>0</v>
      </c>
      <c r="BM13" s="175">
        <f>BH13*17/14</f>
        <v>0</v>
      </c>
      <c r="BN13" s="176">
        <f>SUM(BN4:BN12)</f>
        <v>0</v>
      </c>
      <c r="BP13" s="175">
        <f t="shared" ref="BP13:BQ13" si="42">SUM(BP4:BP12)</f>
        <v>0</v>
      </c>
      <c r="BQ13" s="175">
        <f t="shared" si="42"/>
        <v>0</v>
      </c>
    </row>
    <row r="14" spans="1:69" x14ac:dyDescent="0.3">
      <c r="C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72"/>
      <c r="BE14" s="1"/>
      <c r="BF14" s="1"/>
      <c r="BG14" s="1"/>
      <c r="BH14" s="1"/>
      <c r="BI14" s="1"/>
      <c r="BJ14" s="1"/>
      <c r="BK14" s="1"/>
      <c r="BL14" s="72"/>
      <c r="BM14" s="72"/>
      <c r="BN14" s="1"/>
    </row>
    <row r="15" spans="1:69" x14ac:dyDescent="0.3">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72"/>
      <c r="BM15" s="72"/>
      <c r="BN15" s="1"/>
    </row>
    <row r="16" spans="1:69" x14ac:dyDescent="0.3">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72"/>
      <c r="BM16" s="72"/>
      <c r="BN16" s="1"/>
    </row>
    <row r="17" spans="1:67" s="279" customFormat="1" x14ac:dyDescent="0.3">
      <c r="A17" s="279" t="s">
        <v>366</v>
      </c>
    </row>
    <row r="18" spans="1:67" s="31" customFormat="1" ht="15.75" customHeight="1" x14ac:dyDescent="0.3">
      <c r="A18" s="546" t="s">
        <v>29</v>
      </c>
      <c r="B18" s="546" t="s">
        <v>6</v>
      </c>
      <c r="C18" s="548" t="s">
        <v>7</v>
      </c>
      <c r="D18" s="552" t="s">
        <v>213</v>
      </c>
      <c r="E18" s="552" t="s">
        <v>7</v>
      </c>
      <c r="F18" s="541" t="s">
        <v>28</v>
      </c>
      <c r="G18" s="541"/>
      <c r="H18" s="541"/>
      <c r="I18" s="541"/>
      <c r="J18" s="542"/>
      <c r="K18" s="543" t="s">
        <v>43</v>
      </c>
      <c r="L18" s="541"/>
      <c r="M18" s="542"/>
      <c r="N18" s="543" t="s">
        <v>1</v>
      </c>
      <c r="O18" s="541"/>
      <c r="P18" s="541"/>
      <c r="Q18" s="541"/>
      <c r="R18" s="541"/>
      <c r="S18" s="542"/>
      <c r="T18" s="543" t="s">
        <v>124</v>
      </c>
      <c r="U18" s="541"/>
      <c r="V18" s="541"/>
      <c r="W18" s="541"/>
      <c r="X18" s="541"/>
      <c r="Y18" s="541"/>
      <c r="Z18" s="543" t="s">
        <v>0</v>
      </c>
      <c r="AA18" s="541"/>
      <c r="AB18" s="541"/>
      <c r="AC18" s="542"/>
      <c r="AD18" s="543" t="s">
        <v>113</v>
      </c>
      <c r="AE18" s="541"/>
      <c r="AF18" s="541"/>
      <c r="AG18" s="542"/>
      <c r="AH18" s="543" t="s">
        <v>42</v>
      </c>
      <c r="AI18" s="541"/>
      <c r="AJ18" s="542"/>
      <c r="AK18" s="541" t="s">
        <v>136</v>
      </c>
      <c r="AL18" s="541"/>
      <c r="AM18" s="542"/>
      <c r="AN18" s="543" t="s">
        <v>76</v>
      </c>
      <c r="AO18" s="541"/>
      <c r="AP18" s="541"/>
      <c r="AQ18" s="541"/>
      <c r="AR18" s="541"/>
      <c r="AS18" s="541"/>
      <c r="AT18" s="541"/>
      <c r="AU18" s="541"/>
      <c r="AV18" s="542"/>
      <c r="AW18" s="544" t="s">
        <v>82</v>
      </c>
      <c r="AX18" s="545"/>
      <c r="AY18" s="541" t="s">
        <v>83</v>
      </c>
      <c r="AZ18" s="541"/>
      <c r="BA18" s="541"/>
      <c r="BB18" s="541"/>
      <c r="BC18" s="541"/>
      <c r="BD18" s="543" t="s">
        <v>90</v>
      </c>
      <c r="BE18" s="541"/>
      <c r="BF18" s="544" t="s">
        <v>56</v>
      </c>
      <c r="BG18" s="545"/>
      <c r="BH18" s="57" t="s">
        <v>115</v>
      </c>
      <c r="BI18" s="57" t="s">
        <v>96</v>
      </c>
      <c r="BJ18" s="57" t="s">
        <v>95</v>
      </c>
      <c r="BK18" s="57" t="s">
        <v>121</v>
      </c>
      <c r="BL18" s="90" t="s">
        <v>98</v>
      </c>
      <c r="BM18" s="55" t="s">
        <v>97</v>
      </c>
      <c r="BN18" s="59"/>
      <c r="BO18"/>
    </row>
    <row r="19" spans="1:67" s="17" customFormat="1" ht="15.6" x14ac:dyDescent="0.3">
      <c r="A19" s="546"/>
      <c r="B19" s="546"/>
      <c r="C19" s="549"/>
      <c r="D19" s="553"/>
      <c r="E19" s="554"/>
      <c r="F19" s="17" t="s">
        <v>168</v>
      </c>
      <c r="G19" s="17" t="s">
        <v>131</v>
      </c>
      <c r="H19" s="17" t="s">
        <v>31</v>
      </c>
      <c r="I19" s="17" t="s">
        <v>25</v>
      </c>
      <c r="J19" s="20" t="s">
        <v>103</v>
      </c>
      <c r="K19" s="445" t="s">
        <v>10</v>
      </c>
      <c r="L19" s="17" t="s">
        <v>8</v>
      </c>
      <c r="M19" s="20" t="s">
        <v>9</v>
      </c>
      <c r="N19" s="17" t="s">
        <v>11</v>
      </c>
      <c r="O19" s="17" t="s">
        <v>12</v>
      </c>
      <c r="P19" s="19" t="s">
        <v>14</v>
      </c>
      <c r="Q19" s="29" t="s">
        <v>27</v>
      </c>
      <c r="R19" s="22" t="s">
        <v>132</v>
      </c>
      <c r="S19" s="50" t="s">
        <v>104</v>
      </c>
      <c r="T19" s="35" t="s">
        <v>133</v>
      </c>
      <c r="U19" s="18" t="s">
        <v>134</v>
      </c>
      <c r="V19" s="19" t="s">
        <v>135</v>
      </c>
      <c r="W19" s="29" t="s">
        <v>54</v>
      </c>
      <c r="X19" s="22" t="s">
        <v>134</v>
      </c>
      <c r="Y19" s="50" t="s">
        <v>30</v>
      </c>
      <c r="Z19" s="445" t="s">
        <v>34</v>
      </c>
      <c r="AA19" s="17" t="s">
        <v>35</v>
      </c>
      <c r="AB19" s="50" t="s">
        <v>105</v>
      </c>
      <c r="AC19" s="131" t="s">
        <v>37</v>
      </c>
      <c r="AD19" s="33" t="s">
        <v>114</v>
      </c>
      <c r="AE19" s="29" t="s">
        <v>39</v>
      </c>
      <c r="AF19" s="29" t="s">
        <v>40</v>
      </c>
      <c r="AG19" s="50" t="s">
        <v>106</v>
      </c>
      <c r="AH19" s="23" t="s">
        <v>44</v>
      </c>
      <c r="AI19" s="24" t="s">
        <v>41</v>
      </c>
      <c r="AJ19" s="25" t="s">
        <v>69</v>
      </c>
      <c r="AK19" s="24" t="s">
        <v>70</v>
      </c>
      <c r="AL19" s="24" t="s">
        <v>71</v>
      </c>
      <c r="AM19" s="25" t="s">
        <v>72</v>
      </c>
      <c r="AN19" s="445" t="s">
        <v>45</v>
      </c>
      <c r="AO19" s="17" t="s">
        <v>46</v>
      </c>
      <c r="AP19" s="19" t="s">
        <v>47</v>
      </c>
      <c r="AQ19" s="19" t="s">
        <v>48</v>
      </c>
      <c r="AR19" s="19" t="s">
        <v>49</v>
      </c>
      <c r="AS19" s="19" t="s">
        <v>122</v>
      </c>
      <c r="AT19" s="29" t="s">
        <v>77</v>
      </c>
      <c r="AU19" s="49" t="s">
        <v>75</v>
      </c>
      <c r="AV19" s="50" t="s">
        <v>107</v>
      </c>
      <c r="AW19" s="166" t="s">
        <v>60</v>
      </c>
      <c r="AX19" s="38" t="s">
        <v>81</v>
      </c>
      <c r="AY19" s="18" t="s">
        <v>50</v>
      </c>
      <c r="AZ19" s="18" t="s">
        <v>51</v>
      </c>
      <c r="BA19" s="19" t="s">
        <v>52</v>
      </c>
      <c r="BB19" s="29" t="s">
        <v>87</v>
      </c>
      <c r="BC19" s="29" t="s">
        <v>89</v>
      </c>
      <c r="BD19" s="74" t="s">
        <v>92</v>
      </c>
      <c r="BE19" s="29" t="s">
        <v>94</v>
      </c>
      <c r="BF19" s="35" t="s">
        <v>53</v>
      </c>
      <c r="BG19" s="75" t="s">
        <v>59</v>
      </c>
      <c r="BH19" s="56" t="s">
        <v>116</v>
      </c>
      <c r="BI19" s="56" t="s">
        <v>100</v>
      </c>
      <c r="BJ19" s="56" t="s">
        <v>99</v>
      </c>
      <c r="BK19" s="56" t="s">
        <v>101</v>
      </c>
      <c r="BL19" s="550" t="s">
        <v>13</v>
      </c>
      <c r="BM19" s="539" t="s">
        <v>102</v>
      </c>
      <c r="BN19" s="37" t="s">
        <v>2</v>
      </c>
      <c r="BO19"/>
    </row>
    <row r="20" spans="1:67" s="61" customFormat="1" ht="15.6" x14ac:dyDescent="0.3">
      <c r="A20" s="547"/>
      <c r="B20" s="547"/>
      <c r="C20" s="65" t="s">
        <v>169</v>
      </c>
      <c r="D20" s="26" t="s">
        <v>214</v>
      </c>
      <c r="E20" s="26" t="s">
        <v>215</v>
      </c>
      <c r="F20" s="21" t="s">
        <v>166</v>
      </c>
      <c r="G20" s="61" t="s">
        <v>167</v>
      </c>
      <c r="H20" s="61" t="s">
        <v>13</v>
      </c>
      <c r="I20" s="61" t="s">
        <v>165</v>
      </c>
      <c r="J20" s="3" t="s">
        <v>26</v>
      </c>
      <c r="K20" s="65"/>
      <c r="M20" s="3"/>
      <c r="N20" s="62" t="s">
        <v>5</v>
      </c>
      <c r="O20" s="62" t="s">
        <v>16</v>
      </c>
      <c r="P20" s="16" t="s">
        <v>15</v>
      </c>
      <c r="Q20" s="27" t="s">
        <v>5</v>
      </c>
      <c r="R20" s="28" t="s">
        <v>15</v>
      </c>
      <c r="S20" s="51"/>
      <c r="T20" s="11" t="s">
        <v>5</v>
      </c>
      <c r="U20" s="12" t="s">
        <v>16</v>
      </c>
      <c r="V20" s="16" t="s">
        <v>15</v>
      </c>
      <c r="W20" s="27" t="s">
        <v>5</v>
      </c>
      <c r="X20" s="28" t="s">
        <v>15</v>
      </c>
      <c r="Y20" s="51"/>
      <c r="Z20" s="65" t="s">
        <v>5</v>
      </c>
      <c r="AA20" s="61" t="s">
        <v>15</v>
      </c>
      <c r="AB20" s="159"/>
      <c r="AC20" s="132" t="s">
        <v>15</v>
      </c>
      <c r="AD20" s="26" t="s">
        <v>38</v>
      </c>
      <c r="AE20" s="34" t="s">
        <v>68</v>
      </c>
      <c r="AF20" s="34" t="s">
        <v>73</v>
      </c>
      <c r="AG20" s="51"/>
      <c r="AH20" s="65"/>
      <c r="AJ20" s="3"/>
      <c r="AM20" s="3"/>
      <c r="AN20" s="21"/>
      <c r="AO20" s="62"/>
      <c r="AP20" s="16" t="s">
        <v>15</v>
      </c>
      <c r="AQ20" s="16" t="s">
        <v>62</v>
      </c>
      <c r="AR20" s="16" t="s">
        <v>63</v>
      </c>
      <c r="AS20" s="16" t="s">
        <v>123</v>
      </c>
      <c r="AT20" s="34" t="s">
        <v>55</v>
      </c>
      <c r="AU20" s="34" t="s">
        <v>74</v>
      </c>
      <c r="AV20" s="51"/>
      <c r="AW20" s="167"/>
      <c r="AX20" s="68"/>
      <c r="AY20" s="32" t="s">
        <v>84</v>
      </c>
      <c r="AZ20" s="32" t="s">
        <v>85</v>
      </c>
      <c r="BA20" s="30" t="s">
        <v>61</v>
      </c>
      <c r="BB20" s="34" t="s">
        <v>86</v>
      </c>
      <c r="BC20" s="34" t="s">
        <v>88</v>
      </c>
      <c r="BD20" s="48" t="s">
        <v>91</v>
      </c>
      <c r="BE20" s="34" t="s">
        <v>93</v>
      </c>
      <c r="BF20" s="35" t="s">
        <v>84</v>
      </c>
      <c r="BG20" s="168" t="s">
        <v>85</v>
      </c>
      <c r="BH20" s="58" t="s">
        <v>13</v>
      </c>
      <c r="BI20" s="58" t="s">
        <v>13</v>
      </c>
      <c r="BJ20" s="58" t="s">
        <v>13</v>
      </c>
      <c r="BK20" s="58" t="s">
        <v>13</v>
      </c>
      <c r="BL20" s="551"/>
      <c r="BM20" s="540"/>
      <c r="BN20" s="60"/>
      <c r="BO20"/>
    </row>
    <row r="21" spans="1:67" s="134" customFormat="1" x14ac:dyDescent="0.3">
      <c r="A21" s="109" t="s">
        <v>360</v>
      </c>
      <c r="B21" s="36" t="s">
        <v>173</v>
      </c>
      <c r="C21" s="151">
        <f>Dades!E$8</f>
        <v>0</v>
      </c>
      <c r="D21" s="226"/>
      <c r="E21" s="227"/>
      <c r="F21" s="428">
        <v>0.31</v>
      </c>
      <c r="G21" s="429">
        <v>0.249</v>
      </c>
      <c r="H21" s="157">
        <f t="shared" ref="H21:H29" si="43">C21*F21</f>
        <v>0</v>
      </c>
      <c r="I21" s="40">
        <f>G21/F21</f>
        <v>0.8032258064516129</v>
      </c>
      <c r="J21" s="40">
        <f>H21*I21</f>
        <v>0</v>
      </c>
      <c r="K21" s="42">
        <f>F.Distribució!$E$4</f>
        <v>0</v>
      </c>
      <c r="L21" s="40">
        <f>F.Distribució!$F$4</f>
        <v>0</v>
      </c>
      <c r="M21" s="41">
        <f>F.Distribució!$G$4</f>
        <v>1</v>
      </c>
      <c r="N21" s="39">
        <f>H21*K21</f>
        <v>0</v>
      </c>
      <c r="O21" s="39">
        <f>J21*K21</f>
        <v>0</v>
      </c>
      <c r="P21" s="44">
        <f>O21*F.Emissió!C3</f>
        <v>0</v>
      </c>
      <c r="Q21" s="45">
        <f>N21-P21</f>
        <v>0</v>
      </c>
      <c r="R21" s="46">
        <f>O21-P21</f>
        <v>0</v>
      </c>
      <c r="S21" s="52">
        <f>(K21*J21)-(P21+R21)</f>
        <v>0</v>
      </c>
      <c r="T21" s="43">
        <f>H21*L21</f>
        <v>0</v>
      </c>
      <c r="U21" s="39">
        <f>J21*L21</f>
        <v>0</v>
      </c>
      <c r="V21" s="44">
        <f>U21*F.Emissió!F3</f>
        <v>0</v>
      </c>
      <c r="W21" s="45">
        <f>T21-V21</f>
        <v>0</v>
      </c>
      <c r="X21" s="46">
        <f>U21-V21</f>
        <v>0</v>
      </c>
      <c r="Y21" s="52">
        <f>W21+V21+Q21+P21-(H21*K21+H21*L21)</f>
        <v>0</v>
      </c>
      <c r="Z21" s="42">
        <f>H21*M21</f>
        <v>0</v>
      </c>
      <c r="AA21" s="69">
        <f>J21*M21</f>
        <v>0</v>
      </c>
      <c r="AB21" s="161">
        <f>(AA21)-J21*M21</f>
        <v>0</v>
      </c>
      <c r="AC21" s="73">
        <f>AA21*F.Emissió!I3</f>
        <v>0</v>
      </c>
      <c r="AD21" s="47">
        <f>F.Distribució!$J$4</f>
        <v>0</v>
      </c>
      <c r="AE21" s="71">
        <f>(C21*AD21*M21)+Z21-AC21</f>
        <v>0</v>
      </c>
      <c r="AF21" s="71">
        <f>(AA21-AC21)*(1-0.0067)</f>
        <v>0</v>
      </c>
      <c r="AG21" s="67">
        <f t="shared" ref="AG21:AG29" si="44">(AE21+W21+Q21)+(P21+V21+AC21)-(H21+AD21*C21*M21)</f>
        <v>0</v>
      </c>
      <c r="AH21" s="42">
        <f>F.Distribució!K4</f>
        <v>1</v>
      </c>
      <c r="AI21" s="40">
        <f>F.Distribució!L4</f>
        <v>0</v>
      </c>
      <c r="AJ21" s="40">
        <f>F.Distribució!M4</f>
        <v>0</v>
      </c>
      <c r="AK21" s="42">
        <f>F.Distribució!O4</f>
        <v>0</v>
      </c>
      <c r="AL21" s="40">
        <f>F.Distribució!P4</f>
        <v>0</v>
      </c>
      <c r="AM21" s="41">
        <f>F.Distribució!Q4</f>
        <v>0</v>
      </c>
      <c r="AN21" s="39">
        <f>AE21*AH21+W21*AK21</f>
        <v>0</v>
      </c>
      <c r="AO21" s="39">
        <f>AF21*AH21+X21*AK21</f>
        <v>0</v>
      </c>
      <c r="AP21" s="44">
        <f>AO21*F.Emissió!L3</f>
        <v>0</v>
      </c>
      <c r="AQ21" s="44">
        <f>AO21*F.Emissió!S3</f>
        <v>0</v>
      </c>
      <c r="AR21" s="44">
        <f>AO21*F.Emissió!T3</f>
        <v>0</v>
      </c>
      <c r="AS21" s="44">
        <f>AO21*F.Emissió!U3</f>
        <v>0</v>
      </c>
      <c r="AT21" s="45">
        <f>AN21-AP21-AQ21*(28/44)-AR21-AS21*(14/46)</f>
        <v>0</v>
      </c>
      <c r="AU21" s="45">
        <f>AO21-AP21-AQ21*(28/44)-AR21-AS21*(14/46)</f>
        <v>0</v>
      </c>
      <c r="AV21" s="247">
        <f>(AT21+AP21+AR21+AQ21*28/44+AS21*14/46)-AN21</f>
        <v>0</v>
      </c>
      <c r="AW21" s="42">
        <f>F.Distribució!S4</f>
        <v>1</v>
      </c>
      <c r="AX21" s="41">
        <f>F.Distribució!T4</f>
        <v>0</v>
      </c>
      <c r="AY21" s="53">
        <f>AT21*AW21+AE21*AI21+W21*AL21</f>
        <v>0</v>
      </c>
      <c r="AZ21" s="53">
        <f>AU21*AW21+AF21*AI21+X21*AL21</f>
        <v>0</v>
      </c>
      <c r="BA21" s="54">
        <f>AZ21*F.Emissió!O3</f>
        <v>0</v>
      </c>
      <c r="BB21" s="182">
        <f>AY21-BA21</f>
        <v>0</v>
      </c>
      <c r="BC21" s="183">
        <f>AZ21-BA21</f>
        <v>0</v>
      </c>
      <c r="BD21" s="184">
        <f>BB21+Q21</f>
        <v>0</v>
      </c>
      <c r="BE21" s="182">
        <f>BC21+R21</f>
        <v>0</v>
      </c>
      <c r="BF21" s="185">
        <f>W21*AM21+AT21*AX21+AE21*AJ21</f>
        <v>0</v>
      </c>
      <c r="BG21" s="192">
        <f>X21*AM21+AU21*AX21+AF21*AJ21</f>
        <v>0</v>
      </c>
      <c r="BH21" s="171">
        <f>BA21+AP21+AC21+V21+P21</f>
        <v>0</v>
      </c>
      <c r="BI21" s="171">
        <f>AQ21*28/44</f>
        <v>0</v>
      </c>
      <c r="BJ21" s="171">
        <f>AR21</f>
        <v>0</v>
      </c>
      <c r="BK21" s="172">
        <f>AS21*14/46</f>
        <v>0</v>
      </c>
      <c r="BL21" s="172">
        <f>SUM(BH21:BK21)</f>
        <v>0</v>
      </c>
      <c r="BM21" s="172">
        <f>BH21*17/14</f>
        <v>0</v>
      </c>
      <c r="BN21" s="173">
        <f t="shared" ref="BN21:BN29" si="45">H21+(AD21*C21*M21)-(BD21+BF21+BL21)</f>
        <v>0</v>
      </c>
      <c r="BO21"/>
    </row>
    <row r="22" spans="1:67" s="134" customFormat="1" x14ac:dyDescent="0.3">
      <c r="A22" s="110" t="s">
        <v>360</v>
      </c>
      <c r="B22" s="134" t="s">
        <v>176</v>
      </c>
      <c r="C22" s="152">
        <f>Dades!E$10</f>
        <v>0</v>
      </c>
      <c r="D22" s="226"/>
      <c r="E22" s="227"/>
      <c r="F22" s="428">
        <v>0.64100000000000001</v>
      </c>
      <c r="G22" s="430">
        <v>0.49399999999999999</v>
      </c>
      <c r="H22" s="154">
        <f t="shared" si="43"/>
        <v>0</v>
      </c>
      <c r="I22" s="39">
        <f t="shared" ref="I22:I27" si="46">G22/F22</f>
        <v>0.77067082683307331</v>
      </c>
      <c r="J22" s="39">
        <f t="shared" ref="J22:J28" si="47">H22*I22</f>
        <v>0</v>
      </c>
      <c r="K22" s="43">
        <f>F.Distribució!$E$4</f>
        <v>0</v>
      </c>
      <c r="L22" s="39">
        <f>F.Distribució!$F$5</f>
        <v>0</v>
      </c>
      <c r="M22" s="64">
        <f>F.Distribució!$G$5</f>
        <v>1</v>
      </c>
      <c r="N22" s="39">
        <f t="shared" ref="N22:N29" si="48">H22*K22</f>
        <v>0</v>
      </c>
      <c r="O22" s="39">
        <f t="shared" ref="O22:O29" si="49">J22*K22</f>
        <v>0</v>
      </c>
      <c r="P22" s="44">
        <f>O22*F.Emissió!C4</f>
        <v>0</v>
      </c>
      <c r="Q22" s="45">
        <f t="shared" ref="Q22:Q29" si="50">N22-P22</f>
        <v>0</v>
      </c>
      <c r="R22" s="46">
        <f t="shared" ref="R22:R29" si="51">O22-P22</f>
        <v>0</v>
      </c>
      <c r="S22" s="52">
        <f t="shared" ref="S22:S29" si="52">(K22*J22)-(P22+R22)</f>
        <v>0</v>
      </c>
      <c r="T22" s="43">
        <f t="shared" ref="T22:T23" si="53">H22*L22</f>
        <v>0</v>
      </c>
      <c r="U22" s="39">
        <f t="shared" ref="U22:U29" si="54">J22*L22</f>
        <v>0</v>
      </c>
      <c r="V22" s="44">
        <f>U22*F.Emissió!F4</f>
        <v>0</v>
      </c>
      <c r="W22" s="45">
        <f t="shared" ref="W22:W29" si="55">T22-V22</f>
        <v>0</v>
      </c>
      <c r="X22" s="46">
        <f t="shared" ref="X22:X29" si="56">U22-V22</f>
        <v>0</v>
      </c>
      <c r="Y22" s="52">
        <f t="shared" ref="Y22:Y29" si="57">W22+V22+Q22+P22-(H22*K22+H22*L22)</f>
        <v>0</v>
      </c>
      <c r="Z22" s="43">
        <f t="shared" ref="Z22:Z29" si="58">H22*M22</f>
        <v>0</v>
      </c>
      <c r="AA22" s="70">
        <f t="shared" ref="AA22:AA29" si="59">J22*M22</f>
        <v>0</v>
      </c>
      <c r="AB22" s="52">
        <f t="shared" ref="AB22:AB29" si="60">(AA22)-J22*M22</f>
        <v>0</v>
      </c>
      <c r="AC22" s="73">
        <f>AA22*F.Emissió!I4</f>
        <v>0</v>
      </c>
      <c r="AD22" s="47">
        <f>F.Distribució!$J$5</f>
        <v>0</v>
      </c>
      <c r="AE22" s="71">
        <f t="shared" ref="AE22:AE29" si="61">(C22*AD22*M22)+Z22-AC22</f>
        <v>0</v>
      </c>
      <c r="AF22" s="71">
        <f t="shared" ref="AF22:AF29" si="62">(AA22-AC22)*(1-0.0067)</f>
        <v>0</v>
      </c>
      <c r="AG22" s="67">
        <f t="shared" si="44"/>
        <v>0</v>
      </c>
      <c r="AH22" s="43">
        <f>F.Distribució!K5</f>
        <v>1</v>
      </c>
      <c r="AI22" s="39">
        <f>F.Distribució!L5</f>
        <v>0</v>
      </c>
      <c r="AJ22" s="39">
        <f>F.Distribució!M5</f>
        <v>0</v>
      </c>
      <c r="AK22" s="43">
        <f>F.Distribució!O5</f>
        <v>0</v>
      </c>
      <c r="AL22" s="39">
        <f>F.Distribució!P5</f>
        <v>0</v>
      </c>
      <c r="AM22" s="64">
        <f>F.Distribució!Q5</f>
        <v>0</v>
      </c>
      <c r="AN22" s="39">
        <f t="shared" ref="AN22:AN29" si="63">AE22*AH22+W22*AK22</f>
        <v>0</v>
      </c>
      <c r="AO22" s="39">
        <f t="shared" ref="AO22:AO29" si="64">AF22*AH22+X22*AK22</f>
        <v>0</v>
      </c>
      <c r="AP22" s="44">
        <f>AO22*F.Emissió!L4</f>
        <v>0</v>
      </c>
      <c r="AQ22" s="44">
        <f>AO22*F.Emissió!S4</f>
        <v>0</v>
      </c>
      <c r="AR22" s="44">
        <f>AO22*F.Emissió!T4</f>
        <v>0</v>
      </c>
      <c r="AS22" s="44">
        <f>AO22*F.Emissió!U4</f>
        <v>0</v>
      </c>
      <c r="AT22" s="45">
        <f t="shared" ref="AT22:AT29" si="65">AN22-AP22-AQ22*(28/44)-AR22-AS22*(14/46)</f>
        <v>0</v>
      </c>
      <c r="AU22" s="45">
        <f t="shared" ref="AU22:AU29" si="66">AO22-AP22-AQ22*(28/44)-AR22-AS22*(14/46)</f>
        <v>0</v>
      </c>
      <c r="AV22" s="247">
        <f t="shared" ref="AV22:AV29" si="67">(AT22+AP22+AR22+AQ22*28/44+AS22*14/46)-AN22</f>
        <v>0</v>
      </c>
      <c r="AW22" s="43">
        <f>F.Distribució!S5</f>
        <v>1</v>
      </c>
      <c r="AX22" s="64">
        <f>F.Distribució!T5</f>
        <v>0</v>
      </c>
      <c r="AY22" s="53">
        <f t="shared" ref="AY22:AY29" si="68">AT22*AW22+AE22*AI22+W22*AL22</f>
        <v>0</v>
      </c>
      <c r="AZ22" s="53">
        <f t="shared" ref="AZ22:AZ29" si="69">AU22*AW22+AF22*AI22+X22*AL22</f>
        <v>0</v>
      </c>
      <c r="BA22" s="54">
        <f>AZ22*F.Emissió!O4</f>
        <v>0</v>
      </c>
      <c r="BB22" s="182">
        <f t="shared" ref="BB22:BB29" si="70">AY22-BA22</f>
        <v>0</v>
      </c>
      <c r="BC22" s="183">
        <f t="shared" ref="BC22:BC29" si="71">AZ22-BA22</f>
        <v>0</v>
      </c>
      <c r="BD22" s="184">
        <f t="shared" ref="BD22:BD29" si="72">BB22+Q22</f>
        <v>0</v>
      </c>
      <c r="BE22" s="182">
        <f t="shared" ref="BE22:BE29" si="73">BC22+R22</f>
        <v>0</v>
      </c>
      <c r="BF22" s="186">
        <f t="shared" ref="BF22:BF29" si="74">W22*AM22+AT22*AX22+AE22*AJ22</f>
        <v>0</v>
      </c>
      <c r="BG22" s="193">
        <f t="shared" ref="BG22:BG29" si="75">X22*AM22+AU22*AX22+AF22*AJ22</f>
        <v>0</v>
      </c>
      <c r="BH22" s="171">
        <f t="shared" ref="BH22:BH24" si="76">BA22+AP22+AC22+V22+P22</f>
        <v>0</v>
      </c>
      <c r="BI22" s="171">
        <f t="shared" ref="BI22:BI29" si="77">AQ22*28/44</f>
        <v>0</v>
      </c>
      <c r="BJ22" s="171">
        <f t="shared" ref="BJ22:BJ29" si="78">AR22</f>
        <v>0</v>
      </c>
      <c r="BK22" s="172">
        <f t="shared" ref="BK22:BK29" si="79">AS22*14/46</f>
        <v>0</v>
      </c>
      <c r="BL22" s="172">
        <f t="shared" ref="BL22:BL29" si="80">SUM(BH22:BK22)</f>
        <v>0</v>
      </c>
      <c r="BM22" s="172">
        <f t="shared" ref="BM22:BM29" si="81">BH22*17/14</f>
        <v>0</v>
      </c>
      <c r="BN22" s="173">
        <f t="shared" si="45"/>
        <v>0</v>
      </c>
      <c r="BO22"/>
    </row>
    <row r="23" spans="1:67" s="134" customFormat="1" x14ac:dyDescent="0.3">
      <c r="A23" s="110" t="s">
        <v>360</v>
      </c>
      <c r="B23" s="427" t="s">
        <v>174</v>
      </c>
      <c r="C23" s="152">
        <f>Dades!E$12</f>
        <v>0</v>
      </c>
      <c r="D23" s="226"/>
      <c r="E23" s="227"/>
      <c r="F23" s="428">
        <v>0.34599999999999997</v>
      </c>
      <c r="G23" s="430">
        <v>0.27900000000000003</v>
      </c>
      <c r="H23" s="154">
        <f t="shared" si="43"/>
        <v>0</v>
      </c>
      <c r="I23" s="39">
        <f t="shared" si="46"/>
        <v>0.8063583815028903</v>
      </c>
      <c r="J23" s="39">
        <f t="shared" si="47"/>
        <v>0</v>
      </c>
      <c r="K23" s="43">
        <f>F.Distribució!$E$4</f>
        <v>0</v>
      </c>
      <c r="L23" s="39">
        <f>F.Distribució!$F$6</f>
        <v>0</v>
      </c>
      <c r="M23" s="64">
        <f>F.Distribució!$G$6</f>
        <v>1</v>
      </c>
      <c r="N23" s="39">
        <f t="shared" si="48"/>
        <v>0</v>
      </c>
      <c r="O23" s="39">
        <f t="shared" si="49"/>
        <v>0</v>
      </c>
      <c r="P23" s="44">
        <f>O23*F.Emissió!C5</f>
        <v>0</v>
      </c>
      <c r="Q23" s="45">
        <f t="shared" si="50"/>
        <v>0</v>
      </c>
      <c r="R23" s="46">
        <f t="shared" si="51"/>
        <v>0</v>
      </c>
      <c r="S23" s="52">
        <f t="shared" si="52"/>
        <v>0</v>
      </c>
      <c r="T23" s="43">
        <f t="shared" si="53"/>
        <v>0</v>
      </c>
      <c r="U23" s="39">
        <f t="shared" si="54"/>
        <v>0</v>
      </c>
      <c r="V23" s="44">
        <f>U23*F.Emissió!F5</f>
        <v>0</v>
      </c>
      <c r="W23" s="45">
        <f t="shared" si="55"/>
        <v>0</v>
      </c>
      <c r="X23" s="46">
        <f t="shared" si="56"/>
        <v>0</v>
      </c>
      <c r="Y23" s="52">
        <f t="shared" si="57"/>
        <v>0</v>
      </c>
      <c r="Z23" s="43">
        <f t="shared" si="58"/>
        <v>0</v>
      </c>
      <c r="AA23" s="70">
        <f t="shared" si="59"/>
        <v>0</v>
      </c>
      <c r="AB23" s="52">
        <f t="shared" si="60"/>
        <v>0</v>
      </c>
      <c r="AC23" s="73">
        <f>AA23*F.Emissió!I5</f>
        <v>0</v>
      </c>
      <c r="AD23" s="47">
        <f>F.Distribució!$J$6</f>
        <v>0</v>
      </c>
      <c r="AE23" s="71">
        <f t="shared" si="61"/>
        <v>0</v>
      </c>
      <c r="AF23" s="71">
        <f t="shared" si="62"/>
        <v>0</v>
      </c>
      <c r="AG23" s="67">
        <f t="shared" si="44"/>
        <v>0</v>
      </c>
      <c r="AH23" s="43">
        <f>F.Distribució!K6</f>
        <v>1</v>
      </c>
      <c r="AI23" s="39">
        <f>F.Distribució!L6</f>
        <v>0</v>
      </c>
      <c r="AJ23" s="39">
        <f>F.Distribució!M6</f>
        <v>0</v>
      </c>
      <c r="AK23" s="43">
        <f>F.Distribució!O6</f>
        <v>0</v>
      </c>
      <c r="AL23" s="39">
        <f>F.Distribució!P6</f>
        <v>0</v>
      </c>
      <c r="AM23" s="64">
        <f>F.Distribució!Q6</f>
        <v>0</v>
      </c>
      <c r="AN23" s="39">
        <f t="shared" si="63"/>
        <v>0</v>
      </c>
      <c r="AO23" s="39">
        <f t="shared" si="64"/>
        <v>0</v>
      </c>
      <c r="AP23" s="44">
        <f>AO23*F.Emissió!L5</f>
        <v>0</v>
      </c>
      <c r="AQ23" s="44">
        <f>AO23*F.Emissió!S5</f>
        <v>0</v>
      </c>
      <c r="AR23" s="44">
        <f>AO23*F.Emissió!T5</f>
        <v>0</v>
      </c>
      <c r="AS23" s="44">
        <f>AO23*F.Emissió!U5</f>
        <v>0</v>
      </c>
      <c r="AT23" s="45">
        <f t="shared" si="65"/>
        <v>0</v>
      </c>
      <c r="AU23" s="45">
        <f t="shared" si="66"/>
        <v>0</v>
      </c>
      <c r="AV23" s="247">
        <f t="shared" si="67"/>
        <v>0</v>
      </c>
      <c r="AW23" s="43">
        <f>F.Distribució!S6</f>
        <v>1</v>
      </c>
      <c r="AX23" s="64">
        <f>F.Distribució!T6</f>
        <v>0</v>
      </c>
      <c r="AY23" s="53">
        <f t="shared" si="68"/>
        <v>0</v>
      </c>
      <c r="AZ23" s="53">
        <f t="shared" si="69"/>
        <v>0</v>
      </c>
      <c r="BA23" s="54">
        <f>AZ23*F.Emissió!O5</f>
        <v>0</v>
      </c>
      <c r="BB23" s="182">
        <f t="shared" si="70"/>
        <v>0</v>
      </c>
      <c r="BC23" s="183">
        <f t="shared" si="71"/>
        <v>0</v>
      </c>
      <c r="BD23" s="184">
        <f t="shared" si="72"/>
        <v>0</v>
      </c>
      <c r="BE23" s="182">
        <f t="shared" si="73"/>
        <v>0</v>
      </c>
      <c r="BF23" s="186">
        <f t="shared" si="74"/>
        <v>0</v>
      </c>
      <c r="BG23" s="193">
        <f t="shared" si="75"/>
        <v>0</v>
      </c>
      <c r="BH23" s="171">
        <f t="shared" si="76"/>
        <v>0</v>
      </c>
      <c r="BI23" s="171">
        <f t="shared" si="77"/>
        <v>0</v>
      </c>
      <c r="BJ23" s="171">
        <f t="shared" si="78"/>
        <v>0</v>
      </c>
      <c r="BK23" s="172">
        <f t="shared" si="79"/>
        <v>0</v>
      </c>
      <c r="BL23" s="172">
        <f t="shared" si="80"/>
        <v>0</v>
      </c>
      <c r="BM23" s="172">
        <f t="shared" si="81"/>
        <v>0</v>
      </c>
      <c r="BN23" s="173">
        <f t="shared" si="45"/>
        <v>0</v>
      </c>
      <c r="BO23"/>
    </row>
    <row r="24" spans="1:67" s="134" customFormat="1" x14ac:dyDescent="0.3">
      <c r="A24" s="110" t="s">
        <v>360</v>
      </c>
      <c r="B24" s="427" t="s">
        <v>177</v>
      </c>
      <c r="C24" s="152">
        <f>Dades!E$14</f>
        <v>0</v>
      </c>
      <c r="D24" s="226"/>
      <c r="E24" s="227"/>
      <c r="F24" s="428">
        <v>0.64300000000000002</v>
      </c>
      <c r="G24" s="430">
        <v>0.495</v>
      </c>
      <c r="H24" s="154">
        <f t="shared" si="43"/>
        <v>0</v>
      </c>
      <c r="I24" s="39">
        <f t="shared" si="46"/>
        <v>0.76982892690513216</v>
      </c>
      <c r="J24" s="39">
        <f t="shared" si="47"/>
        <v>0</v>
      </c>
      <c r="K24" s="43">
        <f>F.Distribució!$E$4</f>
        <v>0</v>
      </c>
      <c r="L24" s="39">
        <f>F.Distribució!$F$7</f>
        <v>0</v>
      </c>
      <c r="M24" s="64">
        <f>F.Distribució!$G$7</f>
        <v>1</v>
      </c>
      <c r="N24" s="39">
        <f t="shared" si="48"/>
        <v>0</v>
      </c>
      <c r="O24" s="39">
        <f t="shared" si="49"/>
        <v>0</v>
      </c>
      <c r="P24" s="44">
        <f>O24*F.Emissió!C6</f>
        <v>0</v>
      </c>
      <c r="Q24" s="45">
        <f t="shared" si="50"/>
        <v>0</v>
      </c>
      <c r="R24" s="46">
        <f t="shared" si="51"/>
        <v>0</v>
      </c>
      <c r="S24" s="52">
        <f t="shared" si="52"/>
        <v>0</v>
      </c>
      <c r="T24" s="43">
        <f>H24*L24</f>
        <v>0</v>
      </c>
      <c r="U24" s="39">
        <f t="shared" si="54"/>
        <v>0</v>
      </c>
      <c r="V24" s="44">
        <f>U24*F.Emissió!F6</f>
        <v>0</v>
      </c>
      <c r="W24" s="45">
        <f t="shared" si="55"/>
        <v>0</v>
      </c>
      <c r="X24" s="46">
        <f t="shared" si="56"/>
        <v>0</v>
      </c>
      <c r="Y24" s="52">
        <f t="shared" si="57"/>
        <v>0</v>
      </c>
      <c r="Z24" s="43">
        <f t="shared" si="58"/>
        <v>0</v>
      </c>
      <c r="AA24" s="70">
        <f t="shared" si="59"/>
        <v>0</v>
      </c>
      <c r="AB24" s="52">
        <f t="shared" si="60"/>
        <v>0</v>
      </c>
      <c r="AC24" s="73">
        <f>AA24*F.Emissió!I6</f>
        <v>0</v>
      </c>
      <c r="AD24" s="47">
        <f>F.Distribució!$J$7</f>
        <v>0</v>
      </c>
      <c r="AE24" s="71">
        <f t="shared" si="61"/>
        <v>0</v>
      </c>
      <c r="AF24" s="71">
        <f t="shared" si="62"/>
        <v>0</v>
      </c>
      <c r="AG24" s="67">
        <f t="shared" si="44"/>
        <v>0</v>
      </c>
      <c r="AH24" s="43">
        <f>F.Distribució!K7</f>
        <v>1</v>
      </c>
      <c r="AI24" s="39">
        <f>F.Distribució!L7</f>
        <v>0</v>
      </c>
      <c r="AJ24" s="39">
        <f>F.Distribució!M7</f>
        <v>0</v>
      </c>
      <c r="AK24" s="43">
        <f>F.Distribució!O7</f>
        <v>0</v>
      </c>
      <c r="AL24" s="39">
        <f>F.Distribució!P7</f>
        <v>0</v>
      </c>
      <c r="AM24" s="64">
        <f>F.Distribució!Q7</f>
        <v>0</v>
      </c>
      <c r="AN24" s="39">
        <f t="shared" si="63"/>
        <v>0</v>
      </c>
      <c r="AO24" s="39">
        <f t="shared" si="64"/>
        <v>0</v>
      </c>
      <c r="AP24" s="44">
        <f>AO24*F.Emissió!L6</f>
        <v>0</v>
      </c>
      <c r="AQ24" s="44">
        <f>AO24*F.Emissió!S6</f>
        <v>0</v>
      </c>
      <c r="AR24" s="44">
        <f>AO24*F.Emissió!T6</f>
        <v>0</v>
      </c>
      <c r="AS24" s="44">
        <f>AO24*F.Emissió!U6</f>
        <v>0</v>
      </c>
      <c r="AT24" s="45">
        <f t="shared" si="65"/>
        <v>0</v>
      </c>
      <c r="AU24" s="45">
        <f t="shared" si="66"/>
        <v>0</v>
      </c>
      <c r="AV24" s="247">
        <f t="shared" si="67"/>
        <v>0</v>
      </c>
      <c r="AW24" s="43">
        <f>F.Distribució!S7</f>
        <v>1</v>
      </c>
      <c r="AX24" s="64">
        <f>F.Distribució!T7</f>
        <v>0</v>
      </c>
      <c r="AY24" s="53">
        <f t="shared" si="68"/>
        <v>0</v>
      </c>
      <c r="AZ24" s="53">
        <f t="shared" si="69"/>
        <v>0</v>
      </c>
      <c r="BA24" s="54">
        <f>AZ24*F.Emissió!O6</f>
        <v>0</v>
      </c>
      <c r="BB24" s="182">
        <f t="shared" si="70"/>
        <v>0</v>
      </c>
      <c r="BC24" s="183">
        <f t="shared" si="71"/>
        <v>0</v>
      </c>
      <c r="BD24" s="184">
        <f t="shared" si="72"/>
        <v>0</v>
      </c>
      <c r="BE24" s="182">
        <f t="shared" si="73"/>
        <v>0</v>
      </c>
      <c r="BF24" s="186">
        <f t="shared" si="74"/>
        <v>0</v>
      </c>
      <c r="BG24" s="193">
        <f t="shared" si="75"/>
        <v>0</v>
      </c>
      <c r="BH24" s="171">
        <f t="shared" si="76"/>
        <v>0</v>
      </c>
      <c r="BI24" s="171">
        <f t="shared" si="77"/>
        <v>0</v>
      </c>
      <c r="BJ24" s="171">
        <f t="shared" si="78"/>
        <v>0</v>
      </c>
      <c r="BK24" s="172">
        <f t="shared" si="79"/>
        <v>0</v>
      </c>
      <c r="BL24" s="172">
        <f t="shared" si="80"/>
        <v>0</v>
      </c>
      <c r="BM24" s="172">
        <f t="shared" si="81"/>
        <v>0</v>
      </c>
      <c r="BN24" s="173">
        <f t="shared" si="45"/>
        <v>0</v>
      </c>
      <c r="BO24"/>
    </row>
    <row r="25" spans="1:67" s="134" customFormat="1" x14ac:dyDescent="0.3">
      <c r="A25" s="110" t="s">
        <v>360</v>
      </c>
      <c r="B25" s="134" t="s">
        <v>175</v>
      </c>
      <c r="C25" s="152">
        <f>Dades!E$16</f>
        <v>0</v>
      </c>
      <c r="D25" s="226"/>
      <c r="E25" s="227"/>
      <c r="F25" s="428">
        <v>0.34599999999999997</v>
      </c>
      <c r="G25" s="430">
        <v>0.27900000000000003</v>
      </c>
      <c r="H25" s="154">
        <f t="shared" si="43"/>
        <v>0</v>
      </c>
      <c r="I25" s="39">
        <f t="shared" si="46"/>
        <v>0.8063583815028903</v>
      </c>
      <c r="J25" s="39">
        <f t="shared" si="47"/>
        <v>0</v>
      </c>
      <c r="K25" s="43">
        <f>F.Distribució!$E$4</f>
        <v>0</v>
      </c>
      <c r="L25" s="39">
        <f>F.Distribució!$F$8</f>
        <v>0.33329999999999999</v>
      </c>
      <c r="M25" s="64">
        <f>F.Distribució!$G$8</f>
        <v>0.66670000000000007</v>
      </c>
      <c r="N25" s="39">
        <f t="shared" si="48"/>
        <v>0</v>
      </c>
      <c r="O25" s="39">
        <f t="shared" si="49"/>
        <v>0</v>
      </c>
      <c r="P25" s="44">
        <f>O25*F.Emissió!C7</f>
        <v>0</v>
      </c>
      <c r="Q25" s="45">
        <f t="shared" si="50"/>
        <v>0</v>
      </c>
      <c r="R25" s="46">
        <f t="shared" si="51"/>
        <v>0</v>
      </c>
      <c r="S25" s="52">
        <f t="shared" si="52"/>
        <v>0</v>
      </c>
      <c r="T25" s="43">
        <f t="shared" ref="T25:T29" si="82">H25*L25</f>
        <v>0</v>
      </c>
      <c r="U25" s="39">
        <f t="shared" si="54"/>
        <v>0</v>
      </c>
      <c r="V25" s="44">
        <f>U25*F.Emissió!F7</f>
        <v>0</v>
      </c>
      <c r="W25" s="45">
        <f t="shared" si="55"/>
        <v>0</v>
      </c>
      <c r="X25" s="46">
        <f t="shared" si="56"/>
        <v>0</v>
      </c>
      <c r="Y25" s="52">
        <f t="shared" si="57"/>
        <v>0</v>
      </c>
      <c r="Z25" s="43">
        <f t="shared" si="58"/>
        <v>0</v>
      </c>
      <c r="AA25" s="70">
        <f t="shared" si="59"/>
        <v>0</v>
      </c>
      <c r="AB25" s="52">
        <f t="shared" si="60"/>
        <v>0</v>
      </c>
      <c r="AC25" s="73">
        <f>AA25*F.Emissió!I7</f>
        <v>0</v>
      </c>
      <c r="AD25" s="47">
        <f>F.Distribució!$J$8</f>
        <v>0</v>
      </c>
      <c r="AE25" s="71">
        <f t="shared" si="61"/>
        <v>0</v>
      </c>
      <c r="AF25" s="71">
        <f t="shared" si="62"/>
        <v>0</v>
      </c>
      <c r="AG25" s="67">
        <f t="shared" si="44"/>
        <v>0</v>
      </c>
      <c r="AH25" s="43">
        <f>F.Distribució!K8</f>
        <v>1</v>
      </c>
      <c r="AI25" s="39">
        <f>F.Distribució!L8</f>
        <v>0</v>
      </c>
      <c r="AJ25" s="39">
        <f>F.Distribució!M8</f>
        <v>0</v>
      </c>
      <c r="AK25" s="43">
        <f>F.Distribució!O8</f>
        <v>1</v>
      </c>
      <c r="AL25" s="39">
        <f>F.Distribució!P8</f>
        <v>0</v>
      </c>
      <c r="AM25" s="64">
        <f>F.Distribució!Q8</f>
        <v>0</v>
      </c>
      <c r="AN25" s="39">
        <f t="shared" si="63"/>
        <v>0</v>
      </c>
      <c r="AO25" s="39">
        <f t="shared" si="64"/>
        <v>0</v>
      </c>
      <c r="AP25" s="44">
        <f>AO25*F.Emissió!L7</f>
        <v>0</v>
      </c>
      <c r="AQ25" s="44">
        <f>AO25*F.Emissió!S7</f>
        <v>0</v>
      </c>
      <c r="AR25" s="44">
        <f>AO25*F.Emissió!T7</f>
        <v>0</v>
      </c>
      <c r="AS25" s="44">
        <f>AO25*F.Emissió!U7</f>
        <v>0</v>
      </c>
      <c r="AT25" s="45">
        <f t="shared" si="65"/>
        <v>0</v>
      </c>
      <c r="AU25" s="45">
        <f t="shared" si="66"/>
        <v>0</v>
      </c>
      <c r="AV25" s="247">
        <f t="shared" si="67"/>
        <v>0</v>
      </c>
      <c r="AW25" s="43">
        <f>F.Distribució!S8</f>
        <v>1</v>
      </c>
      <c r="AX25" s="64">
        <f>F.Distribució!T8</f>
        <v>0</v>
      </c>
      <c r="AY25" s="53">
        <f t="shared" si="68"/>
        <v>0</v>
      </c>
      <c r="AZ25" s="53">
        <f t="shared" si="69"/>
        <v>0</v>
      </c>
      <c r="BA25" s="54">
        <f>AZ25*F.Emissió!O7</f>
        <v>0</v>
      </c>
      <c r="BB25" s="182">
        <f t="shared" si="70"/>
        <v>0</v>
      </c>
      <c r="BC25" s="183">
        <f t="shared" si="71"/>
        <v>0</v>
      </c>
      <c r="BD25" s="184">
        <f t="shared" si="72"/>
        <v>0</v>
      </c>
      <c r="BE25" s="182">
        <f t="shared" si="73"/>
        <v>0</v>
      </c>
      <c r="BF25" s="186">
        <f t="shared" si="74"/>
        <v>0</v>
      </c>
      <c r="BG25" s="193">
        <f t="shared" si="75"/>
        <v>0</v>
      </c>
      <c r="BH25" s="171">
        <f>BA25+AP25+AC25+V25+P25</f>
        <v>0</v>
      </c>
      <c r="BI25" s="171">
        <f t="shared" si="77"/>
        <v>0</v>
      </c>
      <c r="BJ25" s="171">
        <f t="shared" si="78"/>
        <v>0</v>
      </c>
      <c r="BK25" s="172">
        <f t="shared" si="79"/>
        <v>0</v>
      </c>
      <c r="BL25" s="172">
        <f t="shared" si="80"/>
        <v>0</v>
      </c>
      <c r="BM25" s="172">
        <f t="shared" si="81"/>
        <v>0</v>
      </c>
      <c r="BN25" s="173">
        <f t="shared" si="45"/>
        <v>0</v>
      </c>
      <c r="BO25"/>
    </row>
    <row r="26" spans="1:67" s="134" customFormat="1" x14ac:dyDescent="0.3">
      <c r="A26" s="110" t="s">
        <v>360</v>
      </c>
      <c r="B26" s="134" t="s">
        <v>178</v>
      </c>
      <c r="C26" s="152">
        <f>Dades!E$18</f>
        <v>0</v>
      </c>
      <c r="D26" s="226"/>
      <c r="E26" s="227"/>
      <c r="F26" s="428">
        <v>0.64300000000000002</v>
      </c>
      <c r="G26" s="430">
        <v>0.495</v>
      </c>
      <c r="H26" s="154">
        <f t="shared" si="43"/>
        <v>0</v>
      </c>
      <c r="I26" s="39">
        <f t="shared" si="46"/>
        <v>0.76982892690513216</v>
      </c>
      <c r="J26" s="39">
        <f t="shared" si="47"/>
        <v>0</v>
      </c>
      <c r="K26" s="43">
        <f>F.Distribució!$E$4</f>
        <v>0</v>
      </c>
      <c r="L26" s="39">
        <f>F.Distribució!$F$9</f>
        <v>0.33329999999999999</v>
      </c>
      <c r="M26" s="64">
        <f>F.Distribució!$G$9</f>
        <v>0.66670000000000007</v>
      </c>
      <c r="N26" s="39">
        <f t="shared" si="48"/>
        <v>0</v>
      </c>
      <c r="O26" s="39">
        <f t="shared" si="49"/>
        <v>0</v>
      </c>
      <c r="P26" s="44">
        <f>O26*F.Emissió!C8</f>
        <v>0</v>
      </c>
      <c r="Q26" s="45">
        <f t="shared" si="50"/>
        <v>0</v>
      </c>
      <c r="R26" s="46">
        <f t="shared" si="51"/>
        <v>0</v>
      </c>
      <c r="S26" s="52">
        <f t="shared" si="52"/>
        <v>0</v>
      </c>
      <c r="T26" s="43">
        <f t="shared" si="82"/>
        <v>0</v>
      </c>
      <c r="U26" s="39">
        <f t="shared" si="54"/>
        <v>0</v>
      </c>
      <c r="V26" s="44">
        <f>U26*F.Emissió!F8</f>
        <v>0</v>
      </c>
      <c r="W26" s="45">
        <f t="shared" si="55"/>
        <v>0</v>
      </c>
      <c r="X26" s="46">
        <f t="shared" si="56"/>
        <v>0</v>
      </c>
      <c r="Y26" s="52">
        <f t="shared" si="57"/>
        <v>0</v>
      </c>
      <c r="Z26" s="43">
        <f t="shared" si="58"/>
        <v>0</v>
      </c>
      <c r="AA26" s="70">
        <f t="shared" si="59"/>
        <v>0</v>
      </c>
      <c r="AB26" s="52">
        <f t="shared" si="60"/>
        <v>0</v>
      </c>
      <c r="AC26" s="73">
        <f>AA26*F.Emissió!I8</f>
        <v>0</v>
      </c>
      <c r="AD26" s="47">
        <f>F.Distribució!$J$9</f>
        <v>0</v>
      </c>
      <c r="AE26" s="71">
        <f t="shared" si="61"/>
        <v>0</v>
      </c>
      <c r="AF26" s="71">
        <f t="shared" si="62"/>
        <v>0</v>
      </c>
      <c r="AG26" s="67">
        <f t="shared" si="44"/>
        <v>0</v>
      </c>
      <c r="AH26" s="43">
        <f>F.Distribució!K9</f>
        <v>1</v>
      </c>
      <c r="AI26" s="39">
        <f>F.Distribució!L9</f>
        <v>0</v>
      </c>
      <c r="AJ26" s="39">
        <f>F.Distribució!M9</f>
        <v>0</v>
      </c>
      <c r="AK26" s="43">
        <f>F.Distribució!O9</f>
        <v>1</v>
      </c>
      <c r="AL26" s="39">
        <f>F.Distribució!P9</f>
        <v>0</v>
      </c>
      <c r="AM26" s="64">
        <f>F.Distribució!Q9</f>
        <v>0</v>
      </c>
      <c r="AN26" s="39">
        <f t="shared" si="63"/>
        <v>0</v>
      </c>
      <c r="AO26" s="39">
        <f t="shared" si="64"/>
        <v>0</v>
      </c>
      <c r="AP26" s="44">
        <f>AO26*F.Emissió!L8</f>
        <v>0</v>
      </c>
      <c r="AQ26" s="44">
        <f>AO26*F.Emissió!S8</f>
        <v>0</v>
      </c>
      <c r="AR26" s="44">
        <f>AO26*F.Emissió!T8</f>
        <v>0</v>
      </c>
      <c r="AS26" s="44">
        <f>AO26*F.Emissió!U8</f>
        <v>0</v>
      </c>
      <c r="AT26" s="45">
        <f t="shared" si="65"/>
        <v>0</v>
      </c>
      <c r="AU26" s="45">
        <f t="shared" si="66"/>
        <v>0</v>
      </c>
      <c r="AV26" s="247">
        <f t="shared" si="67"/>
        <v>0</v>
      </c>
      <c r="AW26" s="43">
        <f>F.Distribució!S9</f>
        <v>1</v>
      </c>
      <c r="AX26" s="64">
        <f>F.Distribució!T9</f>
        <v>0</v>
      </c>
      <c r="AY26" s="53">
        <f t="shared" si="68"/>
        <v>0</v>
      </c>
      <c r="AZ26" s="53">
        <f t="shared" si="69"/>
        <v>0</v>
      </c>
      <c r="BA26" s="54">
        <f>AZ26*F.Emissió!O8</f>
        <v>0</v>
      </c>
      <c r="BB26" s="182">
        <f t="shared" si="70"/>
        <v>0</v>
      </c>
      <c r="BC26" s="183">
        <f t="shared" si="71"/>
        <v>0</v>
      </c>
      <c r="BD26" s="184">
        <f t="shared" si="72"/>
        <v>0</v>
      </c>
      <c r="BE26" s="182">
        <f t="shared" si="73"/>
        <v>0</v>
      </c>
      <c r="BF26" s="186">
        <f t="shared" si="74"/>
        <v>0</v>
      </c>
      <c r="BG26" s="193">
        <f t="shared" si="75"/>
        <v>0</v>
      </c>
      <c r="BH26" s="171">
        <f t="shared" ref="BH26:BH29" si="83">BA26+AP26+AC26+V26+P26</f>
        <v>0</v>
      </c>
      <c r="BI26" s="171">
        <f t="shared" si="77"/>
        <v>0</v>
      </c>
      <c r="BJ26" s="171">
        <f t="shared" si="78"/>
        <v>0</v>
      </c>
      <c r="BK26" s="172">
        <f t="shared" si="79"/>
        <v>0</v>
      </c>
      <c r="BL26" s="172">
        <f t="shared" si="80"/>
        <v>0</v>
      </c>
      <c r="BM26" s="172">
        <f t="shared" si="81"/>
        <v>0</v>
      </c>
      <c r="BN26" s="173">
        <f t="shared" si="45"/>
        <v>0</v>
      </c>
      <c r="BO26"/>
    </row>
    <row r="27" spans="1:67" s="134" customFormat="1" x14ac:dyDescent="0.3">
      <c r="A27" s="201" t="s">
        <v>361</v>
      </c>
      <c r="B27" s="202" t="s">
        <v>179</v>
      </c>
      <c r="C27" s="152">
        <f>Dades!E$24</f>
        <v>0</v>
      </c>
      <c r="D27" s="223">
        <v>5.79</v>
      </c>
      <c r="E27" s="228">
        <f>C21*D27</f>
        <v>0</v>
      </c>
      <c r="F27" s="428">
        <v>0.43999999999999995</v>
      </c>
      <c r="G27" s="430">
        <v>0.32933333333333337</v>
      </c>
      <c r="H27" s="154">
        <f t="shared" si="43"/>
        <v>0</v>
      </c>
      <c r="I27" s="39">
        <f t="shared" si="46"/>
        <v>0.74848484848484864</v>
      </c>
      <c r="J27" s="39">
        <f t="shared" si="47"/>
        <v>0</v>
      </c>
      <c r="K27" s="43">
        <f>F.Distribució!$E$4</f>
        <v>0</v>
      </c>
      <c r="L27" s="39">
        <f>F.Distribució!$F$10</f>
        <v>0</v>
      </c>
      <c r="M27" s="64">
        <f>F.Distribució!$G$10</f>
        <v>1</v>
      </c>
      <c r="N27" s="39">
        <f t="shared" si="48"/>
        <v>0</v>
      </c>
      <c r="O27" s="39">
        <f t="shared" si="49"/>
        <v>0</v>
      </c>
      <c r="P27" s="44">
        <f>O27*F.Emissió!C9</f>
        <v>0</v>
      </c>
      <c r="Q27" s="45">
        <f t="shared" si="50"/>
        <v>0</v>
      </c>
      <c r="R27" s="46">
        <f t="shared" si="51"/>
        <v>0</v>
      </c>
      <c r="S27" s="52">
        <f t="shared" si="52"/>
        <v>0</v>
      </c>
      <c r="T27" s="43">
        <f t="shared" si="82"/>
        <v>0</v>
      </c>
      <c r="U27" s="39">
        <f t="shared" si="54"/>
        <v>0</v>
      </c>
      <c r="V27" s="44">
        <f>U27*F.Emissió!F9</f>
        <v>0</v>
      </c>
      <c r="W27" s="45">
        <f t="shared" si="55"/>
        <v>0</v>
      </c>
      <c r="X27" s="46">
        <f t="shared" si="56"/>
        <v>0</v>
      </c>
      <c r="Y27" s="52">
        <f t="shared" si="57"/>
        <v>0</v>
      </c>
      <c r="Z27" s="43">
        <f t="shared" si="58"/>
        <v>0</v>
      </c>
      <c r="AA27" s="70">
        <f t="shared" si="59"/>
        <v>0</v>
      </c>
      <c r="AB27" s="52">
        <f t="shared" si="60"/>
        <v>0</v>
      </c>
      <c r="AC27" s="73">
        <f>AA27*F.Emissió!I9</f>
        <v>0</v>
      </c>
      <c r="AD27" s="47">
        <f>F.Distribució!$J$10</f>
        <v>0</v>
      </c>
      <c r="AE27" s="71">
        <f t="shared" si="61"/>
        <v>0</v>
      </c>
      <c r="AF27" s="71">
        <f t="shared" si="62"/>
        <v>0</v>
      </c>
      <c r="AG27" s="67">
        <f t="shared" si="44"/>
        <v>0</v>
      </c>
      <c r="AH27" s="43">
        <f>F.Distribució!K10</f>
        <v>1</v>
      </c>
      <c r="AI27" s="39">
        <f>F.Distribució!L10</f>
        <v>0</v>
      </c>
      <c r="AJ27" s="39">
        <f>F.Distribució!M10</f>
        <v>0</v>
      </c>
      <c r="AK27" s="43">
        <f>F.Distribució!O10</f>
        <v>0</v>
      </c>
      <c r="AL27" s="39">
        <f>F.Distribució!P10</f>
        <v>0</v>
      </c>
      <c r="AM27" s="64">
        <f>F.Distribució!Q10</f>
        <v>0</v>
      </c>
      <c r="AN27" s="39">
        <f t="shared" si="63"/>
        <v>0</v>
      </c>
      <c r="AO27" s="39">
        <f t="shared" si="64"/>
        <v>0</v>
      </c>
      <c r="AP27" s="44">
        <f>AO27*F.Emissió!L9</f>
        <v>0</v>
      </c>
      <c r="AQ27" s="44">
        <f>AO27*F.Emissió!S9</f>
        <v>0</v>
      </c>
      <c r="AR27" s="44">
        <f>AO27*F.Emissió!T9</f>
        <v>0</v>
      </c>
      <c r="AS27" s="44">
        <f>AO27*F.Emissió!U9</f>
        <v>0</v>
      </c>
      <c r="AT27" s="45">
        <f t="shared" si="65"/>
        <v>0</v>
      </c>
      <c r="AU27" s="45">
        <f t="shared" si="66"/>
        <v>0</v>
      </c>
      <c r="AV27" s="247">
        <f t="shared" si="67"/>
        <v>0</v>
      </c>
      <c r="AW27" s="43">
        <f>F.Distribució!S10</f>
        <v>1</v>
      </c>
      <c r="AX27" s="64">
        <f>F.Distribució!T10</f>
        <v>0</v>
      </c>
      <c r="AY27" s="53">
        <f t="shared" si="68"/>
        <v>0</v>
      </c>
      <c r="AZ27" s="53">
        <f t="shared" si="69"/>
        <v>0</v>
      </c>
      <c r="BA27" s="54">
        <f>AZ27*F.Emissió!O9</f>
        <v>0</v>
      </c>
      <c r="BB27" s="182">
        <f t="shared" si="70"/>
        <v>0</v>
      </c>
      <c r="BC27" s="183">
        <f t="shared" si="71"/>
        <v>0</v>
      </c>
      <c r="BD27" s="184">
        <f t="shared" si="72"/>
        <v>0</v>
      </c>
      <c r="BE27" s="182">
        <f t="shared" si="73"/>
        <v>0</v>
      </c>
      <c r="BF27" s="186">
        <f t="shared" si="74"/>
        <v>0</v>
      </c>
      <c r="BG27" s="193">
        <f t="shared" si="75"/>
        <v>0</v>
      </c>
      <c r="BH27" s="171">
        <f t="shared" si="83"/>
        <v>0</v>
      </c>
      <c r="BI27" s="171">
        <f t="shared" si="77"/>
        <v>0</v>
      </c>
      <c r="BJ27" s="171">
        <f t="shared" si="78"/>
        <v>0</v>
      </c>
      <c r="BK27" s="172">
        <f t="shared" si="79"/>
        <v>0</v>
      </c>
      <c r="BL27" s="172">
        <f t="shared" si="80"/>
        <v>0</v>
      </c>
      <c r="BM27" s="172">
        <f t="shared" si="81"/>
        <v>0</v>
      </c>
      <c r="BN27" s="173">
        <f t="shared" si="45"/>
        <v>0</v>
      </c>
      <c r="BO27"/>
    </row>
    <row r="28" spans="1:67" s="134" customFormat="1" x14ac:dyDescent="0.3">
      <c r="A28" s="201" t="s">
        <v>361</v>
      </c>
      <c r="B28" s="202" t="s">
        <v>180</v>
      </c>
      <c r="C28" s="152">
        <f>Dades!E$26</f>
        <v>0</v>
      </c>
      <c r="D28" s="224">
        <v>2</v>
      </c>
      <c r="E28" s="198">
        <f>C22*D28</f>
        <v>0</v>
      </c>
      <c r="F28" s="428">
        <v>0.30615384615384617</v>
      </c>
      <c r="G28" s="430">
        <v>0.24153846153846154</v>
      </c>
      <c r="H28" s="154">
        <f t="shared" si="43"/>
        <v>0</v>
      </c>
      <c r="I28" s="39">
        <f>G28/F28</f>
        <v>0.78894472361809043</v>
      </c>
      <c r="J28" s="39">
        <f t="shared" si="47"/>
        <v>0</v>
      </c>
      <c r="K28" s="43">
        <f>F.Distribució!$E$4</f>
        <v>0</v>
      </c>
      <c r="L28" s="39">
        <f>F.Distribució!$F$11</f>
        <v>0</v>
      </c>
      <c r="M28" s="64">
        <f>F.Distribució!$G$11</f>
        <v>1</v>
      </c>
      <c r="N28" s="39">
        <f t="shared" si="48"/>
        <v>0</v>
      </c>
      <c r="O28" s="39">
        <f t="shared" si="49"/>
        <v>0</v>
      </c>
      <c r="P28" s="44">
        <f>O28*F.Emissió!C10</f>
        <v>0</v>
      </c>
      <c r="Q28" s="45">
        <f t="shared" si="50"/>
        <v>0</v>
      </c>
      <c r="R28" s="46">
        <f t="shared" si="51"/>
        <v>0</v>
      </c>
      <c r="S28" s="52">
        <f t="shared" si="52"/>
        <v>0</v>
      </c>
      <c r="T28" s="43">
        <f t="shared" si="82"/>
        <v>0</v>
      </c>
      <c r="U28" s="39">
        <f t="shared" si="54"/>
        <v>0</v>
      </c>
      <c r="V28" s="44">
        <f>U28*F.Emissió!F10</f>
        <v>0</v>
      </c>
      <c r="W28" s="45">
        <f t="shared" si="55"/>
        <v>0</v>
      </c>
      <c r="X28" s="46">
        <f t="shared" si="56"/>
        <v>0</v>
      </c>
      <c r="Y28" s="52">
        <f t="shared" si="57"/>
        <v>0</v>
      </c>
      <c r="Z28" s="43">
        <f t="shared" si="58"/>
        <v>0</v>
      </c>
      <c r="AA28" s="70">
        <f t="shared" si="59"/>
        <v>0</v>
      </c>
      <c r="AB28" s="52">
        <f t="shared" si="60"/>
        <v>0</v>
      </c>
      <c r="AC28" s="73">
        <f>AA28*F.Emissió!I10</f>
        <v>0</v>
      </c>
      <c r="AD28" s="47">
        <f>F.Distribució!$J$11</f>
        <v>0</v>
      </c>
      <c r="AE28" s="71">
        <f t="shared" si="61"/>
        <v>0</v>
      </c>
      <c r="AF28" s="71">
        <f t="shared" si="62"/>
        <v>0</v>
      </c>
      <c r="AG28" s="67">
        <f t="shared" si="44"/>
        <v>0</v>
      </c>
      <c r="AH28" s="43">
        <f>F.Distribució!K11</f>
        <v>1</v>
      </c>
      <c r="AI28" s="39">
        <f>F.Distribució!L11</f>
        <v>0</v>
      </c>
      <c r="AJ28" s="39">
        <f>F.Distribució!M11</f>
        <v>0</v>
      </c>
      <c r="AK28" s="43">
        <f>F.Distribució!O11</f>
        <v>0</v>
      </c>
      <c r="AL28" s="39">
        <f>F.Distribució!P11</f>
        <v>0</v>
      </c>
      <c r="AM28" s="64">
        <f>F.Distribució!Q11</f>
        <v>0</v>
      </c>
      <c r="AN28" s="39">
        <f t="shared" si="63"/>
        <v>0</v>
      </c>
      <c r="AO28" s="39">
        <f t="shared" si="64"/>
        <v>0</v>
      </c>
      <c r="AP28" s="44">
        <f>AO28*F.Emissió!L10</f>
        <v>0</v>
      </c>
      <c r="AQ28" s="44">
        <f>AO28*F.Emissió!S10</f>
        <v>0</v>
      </c>
      <c r="AR28" s="44">
        <f>AO28*F.Emissió!T10</f>
        <v>0</v>
      </c>
      <c r="AS28" s="44">
        <f>AO28*F.Emissió!U10</f>
        <v>0</v>
      </c>
      <c r="AT28" s="45">
        <f t="shared" si="65"/>
        <v>0</v>
      </c>
      <c r="AU28" s="45">
        <f t="shared" si="66"/>
        <v>0</v>
      </c>
      <c r="AV28" s="247">
        <f t="shared" si="67"/>
        <v>0</v>
      </c>
      <c r="AW28" s="43">
        <f>F.Distribució!S11</f>
        <v>1</v>
      </c>
      <c r="AX28" s="64">
        <f>F.Distribució!T11</f>
        <v>0</v>
      </c>
      <c r="AY28" s="53">
        <f t="shared" si="68"/>
        <v>0</v>
      </c>
      <c r="AZ28" s="53">
        <f t="shared" si="69"/>
        <v>0</v>
      </c>
      <c r="BA28" s="54">
        <f>AZ28*F.Emissió!O10</f>
        <v>0</v>
      </c>
      <c r="BB28" s="182">
        <f t="shared" si="70"/>
        <v>0</v>
      </c>
      <c r="BC28" s="183">
        <f t="shared" si="71"/>
        <v>0</v>
      </c>
      <c r="BD28" s="184">
        <f t="shared" si="72"/>
        <v>0</v>
      </c>
      <c r="BE28" s="182">
        <f t="shared" si="73"/>
        <v>0</v>
      </c>
      <c r="BF28" s="186">
        <f t="shared" si="74"/>
        <v>0</v>
      </c>
      <c r="BG28" s="193">
        <f t="shared" si="75"/>
        <v>0</v>
      </c>
      <c r="BH28" s="171">
        <f t="shared" si="83"/>
        <v>0</v>
      </c>
      <c r="BI28" s="171">
        <f t="shared" si="77"/>
        <v>0</v>
      </c>
      <c r="BJ28" s="171">
        <f t="shared" si="78"/>
        <v>0</v>
      </c>
      <c r="BK28" s="172">
        <f t="shared" si="79"/>
        <v>0</v>
      </c>
      <c r="BL28" s="172">
        <f t="shared" si="80"/>
        <v>0</v>
      </c>
      <c r="BM28" s="172">
        <f t="shared" si="81"/>
        <v>0</v>
      </c>
      <c r="BN28" s="173">
        <f t="shared" si="45"/>
        <v>0</v>
      </c>
      <c r="BO28"/>
    </row>
    <row r="29" spans="1:67" s="134" customFormat="1" x14ac:dyDescent="0.3">
      <c r="A29" s="201" t="s">
        <v>361</v>
      </c>
      <c r="B29" s="202" t="s">
        <v>181</v>
      </c>
      <c r="C29" s="152">
        <f>Dades!E$28</f>
        <v>0</v>
      </c>
      <c r="D29" s="225">
        <v>1</v>
      </c>
      <c r="E29" s="229">
        <f>C23*D29</f>
        <v>0</v>
      </c>
      <c r="F29" s="428">
        <v>0.79118019801980188</v>
      </c>
      <c r="G29" s="430">
        <v>0.63311881188118802</v>
      </c>
      <c r="H29" s="154">
        <f t="shared" si="43"/>
        <v>0</v>
      </c>
      <c r="I29" s="39">
        <f t="shared" ref="I29" si="84">G29/F29</f>
        <v>0.80022075055187636</v>
      </c>
      <c r="J29" s="39">
        <f>H29*I29</f>
        <v>0</v>
      </c>
      <c r="K29" s="43">
        <f>F.Distribució!$E$4</f>
        <v>0</v>
      </c>
      <c r="L29" s="39">
        <f>F.Distribució!$F$12</f>
        <v>0</v>
      </c>
      <c r="M29" s="64">
        <f>F.Distribució!$G$12</f>
        <v>1</v>
      </c>
      <c r="N29" s="39">
        <f t="shared" si="48"/>
        <v>0</v>
      </c>
      <c r="O29" s="39">
        <f t="shared" si="49"/>
        <v>0</v>
      </c>
      <c r="P29" s="44">
        <f>O29*F.Emissió!C11</f>
        <v>0</v>
      </c>
      <c r="Q29" s="45">
        <f t="shared" si="50"/>
        <v>0</v>
      </c>
      <c r="R29" s="46">
        <f t="shared" si="51"/>
        <v>0</v>
      </c>
      <c r="S29" s="52">
        <f t="shared" si="52"/>
        <v>0</v>
      </c>
      <c r="T29" s="43">
        <f t="shared" si="82"/>
        <v>0</v>
      </c>
      <c r="U29" s="39">
        <f t="shared" si="54"/>
        <v>0</v>
      </c>
      <c r="V29" s="44">
        <f>U29*F.Emissió!F11</f>
        <v>0</v>
      </c>
      <c r="W29" s="45">
        <f t="shared" si="55"/>
        <v>0</v>
      </c>
      <c r="X29" s="46">
        <f t="shared" si="56"/>
        <v>0</v>
      </c>
      <c r="Y29" s="52">
        <f t="shared" si="57"/>
        <v>0</v>
      </c>
      <c r="Z29" s="43">
        <f t="shared" si="58"/>
        <v>0</v>
      </c>
      <c r="AA29" s="70">
        <f t="shared" si="59"/>
        <v>0</v>
      </c>
      <c r="AB29" s="52">
        <f t="shared" si="60"/>
        <v>0</v>
      </c>
      <c r="AC29" s="73">
        <f>AA29*F.Emissió!I11</f>
        <v>0</v>
      </c>
      <c r="AD29" s="47">
        <f>F.Distribució!$J$12</f>
        <v>0</v>
      </c>
      <c r="AE29" s="71">
        <f t="shared" si="61"/>
        <v>0</v>
      </c>
      <c r="AF29" s="71">
        <f t="shared" si="62"/>
        <v>0</v>
      </c>
      <c r="AG29" s="67">
        <f t="shared" si="44"/>
        <v>0</v>
      </c>
      <c r="AH29" s="43">
        <f>F.Distribució!K12</f>
        <v>1</v>
      </c>
      <c r="AI29" s="39">
        <f>F.Distribució!L12</f>
        <v>0</v>
      </c>
      <c r="AJ29" s="39">
        <f>F.Distribució!M12</f>
        <v>0</v>
      </c>
      <c r="AK29" s="43">
        <f>F.Distribució!O12</f>
        <v>0</v>
      </c>
      <c r="AL29" s="39">
        <f>F.Distribució!P12</f>
        <v>0</v>
      </c>
      <c r="AM29" s="64">
        <f>F.Distribució!Q12</f>
        <v>0</v>
      </c>
      <c r="AN29" s="39">
        <f t="shared" si="63"/>
        <v>0</v>
      </c>
      <c r="AO29" s="39">
        <f t="shared" si="64"/>
        <v>0</v>
      </c>
      <c r="AP29" s="44">
        <f>AO29*F.Emissió!L11</f>
        <v>0</v>
      </c>
      <c r="AQ29" s="44">
        <f>AO29*F.Emissió!S11</f>
        <v>0</v>
      </c>
      <c r="AR29" s="44">
        <f>AO29*F.Emissió!T11</f>
        <v>0</v>
      </c>
      <c r="AS29" s="44">
        <f>AO29*F.Emissió!U11</f>
        <v>0</v>
      </c>
      <c r="AT29" s="45">
        <f t="shared" si="65"/>
        <v>0</v>
      </c>
      <c r="AU29" s="45">
        <f t="shared" si="66"/>
        <v>0</v>
      </c>
      <c r="AV29" s="247">
        <f t="shared" si="67"/>
        <v>0</v>
      </c>
      <c r="AW29" s="43">
        <f>F.Distribució!S12</f>
        <v>1</v>
      </c>
      <c r="AX29" s="64">
        <f>F.Distribució!T12</f>
        <v>0</v>
      </c>
      <c r="AY29" s="53">
        <f t="shared" si="68"/>
        <v>0</v>
      </c>
      <c r="AZ29" s="53">
        <f t="shared" si="69"/>
        <v>0</v>
      </c>
      <c r="BA29" s="54">
        <f>AZ29*F.Emissió!O11</f>
        <v>0</v>
      </c>
      <c r="BB29" s="182">
        <f t="shared" si="70"/>
        <v>0</v>
      </c>
      <c r="BC29" s="183">
        <f t="shared" si="71"/>
        <v>0</v>
      </c>
      <c r="BD29" s="184">
        <f t="shared" si="72"/>
        <v>0</v>
      </c>
      <c r="BE29" s="182">
        <f t="shared" si="73"/>
        <v>0</v>
      </c>
      <c r="BF29" s="186">
        <f t="shared" si="74"/>
        <v>0</v>
      </c>
      <c r="BG29" s="193">
        <f t="shared" si="75"/>
        <v>0</v>
      </c>
      <c r="BH29" s="171">
        <f t="shared" si="83"/>
        <v>0</v>
      </c>
      <c r="BI29" s="171">
        <f t="shared" si="77"/>
        <v>0</v>
      </c>
      <c r="BJ29" s="171">
        <f t="shared" si="78"/>
        <v>0</v>
      </c>
      <c r="BK29" s="172">
        <f t="shared" si="79"/>
        <v>0</v>
      </c>
      <c r="BL29" s="172">
        <f t="shared" si="80"/>
        <v>0</v>
      </c>
      <c r="BM29" s="172">
        <f t="shared" si="81"/>
        <v>0</v>
      </c>
      <c r="BN29" s="173">
        <f t="shared" si="45"/>
        <v>0</v>
      </c>
      <c r="BO29"/>
    </row>
    <row r="30" spans="1:67" ht="21.75" customHeight="1" x14ac:dyDescent="0.3">
      <c r="A30" s="76" t="s">
        <v>117</v>
      </c>
      <c r="B30" s="77"/>
      <c r="C30" s="170">
        <f>SUM(C21:C29)</f>
        <v>0</v>
      </c>
      <c r="D30" s="163"/>
      <c r="E30" s="170">
        <f>SUM(E21:E29)</f>
        <v>0</v>
      </c>
      <c r="F30" s="82"/>
      <c r="G30" s="155"/>
      <c r="H30" s="169">
        <f>SUM(H21:H29)</f>
        <v>0</v>
      </c>
      <c r="I30" s="82"/>
      <c r="J30" s="156">
        <f>SUM(J21:J29)</f>
        <v>0</v>
      </c>
      <c r="K30" s="86"/>
      <c r="L30" s="83"/>
      <c r="M30" s="156"/>
      <c r="N30" s="78">
        <f t="shared" ref="N30" si="85">SUM(N21:N29)</f>
        <v>0</v>
      </c>
      <c r="O30" s="78">
        <f t="shared" ref="O30" si="86">SUM(O21:O29)</f>
        <v>0</v>
      </c>
      <c r="P30" s="79">
        <f t="shared" ref="P30" si="87">SUM(P21:P29)</f>
        <v>0</v>
      </c>
      <c r="Q30" s="80">
        <f t="shared" ref="Q30" si="88">SUM(Q21:Q29)</f>
        <v>0</v>
      </c>
      <c r="R30" s="80">
        <f t="shared" ref="R30" si="89">SUM(R21:R29)</f>
        <v>0</v>
      </c>
      <c r="S30" s="81"/>
      <c r="T30" s="78">
        <f>SUM(T21:T29)</f>
        <v>0</v>
      </c>
      <c r="U30" s="78">
        <f>SUM(U21:U29)</f>
        <v>0</v>
      </c>
      <c r="V30" s="79">
        <f>SUM(V21:V29)</f>
        <v>0</v>
      </c>
      <c r="W30" s="80">
        <f>SUM(W21:W29)</f>
        <v>0</v>
      </c>
      <c r="X30" s="80">
        <f>SUM(X21:X29)</f>
        <v>0</v>
      </c>
      <c r="Y30" s="81"/>
      <c r="Z30" s="133">
        <f>SUM(Z21:Z29)</f>
        <v>0</v>
      </c>
      <c r="AA30" s="84">
        <f>SUM(AA21:AA29)</f>
        <v>0</v>
      </c>
      <c r="AB30" s="160"/>
      <c r="AC30" s="89">
        <f>SUM(AC21:AC29)</f>
        <v>0</v>
      </c>
      <c r="AE30" s="178">
        <f>SUM(AE21:AE29)</f>
        <v>0</v>
      </c>
      <c r="AF30" s="85">
        <f>SUM(AF21:AF29)</f>
        <v>0</v>
      </c>
      <c r="AG30" s="81"/>
      <c r="AH30" s="179"/>
      <c r="AI30" s="180"/>
      <c r="AJ30" s="181"/>
      <c r="AK30" s="163"/>
      <c r="AL30" s="164"/>
      <c r="AM30" s="165"/>
      <c r="AN30" s="162">
        <f t="shared" ref="AN30" si="90">SUM(AN21:AN29)</f>
        <v>0</v>
      </c>
      <c r="AO30" s="78">
        <f t="shared" ref="AO30" si="91">SUM(AO21:AO29)</f>
        <v>0</v>
      </c>
      <c r="AP30" s="79">
        <f t="shared" ref="AP30" si="92">SUM(AP21:AP29)</f>
        <v>0</v>
      </c>
      <c r="AQ30" s="79">
        <f t="shared" ref="AQ30" si="93">SUM(AQ21:AQ29)</f>
        <v>0</v>
      </c>
      <c r="AR30" s="79">
        <f t="shared" ref="AR30" si="94">SUM(AR21:AR29)</f>
        <v>0</v>
      </c>
      <c r="AS30" s="79">
        <f t="shared" ref="AS30" si="95">SUM(AS21:AS29)</f>
        <v>0</v>
      </c>
      <c r="AT30" s="80">
        <f t="shared" ref="AT30" si="96">SUM(AT21:AT29)</f>
        <v>0</v>
      </c>
      <c r="AU30" s="80">
        <f t="shared" ref="AU30" si="97">SUM(AU21:AU29)</f>
        <v>0</v>
      </c>
      <c r="AV30" s="248">
        <f t="shared" ref="AV30" si="98">SUM(AV21:AV29)</f>
        <v>0</v>
      </c>
      <c r="AW30" s="86"/>
      <c r="AX30" s="87"/>
      <c r="AY30" s="162">
        <f t="shared" ref="AY30" si="99">SUM(AY21:AY29)</f>
        <v>0</v>
      </c>
      <c r="AZ30" s="78">
        <f t="shared" ref="AZ30" si="100">SUM(AZ21:AZ29)</f>
        <v>0</v>
      </c>
      <c r="BA30" s="88">
        <f t="shared" ref="BA30" si="101">SUM(BA21:BA29)</f>
        <v>0</v>
      </c>
      <c r="BB30" s="187">
        <f t="shared" ref="BB30" si="102">SUM(BB21:BB29)</f>
        <v>0</v>
      </c>
      <c r="BC30" s="188">
        <f t="shared" ref="BC30" si="103">SUM(BC21:BC29)</f>
        <v>0</v>
      </c>
      <c r="BD30" s="189">
        <f t="shared" ref="BD30" si="104">SUM(BD21:BD29)</f>
        <v>0</v>
      </c>
      <c r="BE30" s="188">
        <f t="shared" ref="BE30" si="105">SUM(BE21:BE29)</f>
        <v>0</v>
      </c>
      <c r="BF30" s="190">
        <f t="shared" ref="BF30" si="106">SUM(BF21:BF29)</f>
        <v>0</v>
      </c>
      <c r="BG30" s="191">
        <f t="shared" ref="BG30" si="107">SUM(BG21:BG29)</f>
        <v>0</v>
      </c>
      <c r="BH30" s="194">
        <f t="shared" ref="BH30" si="108">SUM(BH21:BH29)</f>
        <v>0</v>
      </c>
      <c r="BI30" s="174">
        <f t="shared" ref="BI30" si="109">SUM(BI21:BI29)</f>
        <v>0</v>
      </c>
      <c r="BJ30" s="174">
        <f t="shared" ref="BJ30" si="110">SUM(BJ21:BJ29)</f>
        <v>0</v>
      </c>
      <c r="BK30" s="175">
        <f t="shared" ref="BK30" si="111">SUM(BK21:BK29)</f>
        <v>0</v>
      </c>
      <c r="BL30" s="175">
        <f>SUM(BH30:BK30)</f>
        <v>0</v>
      </c>
      <c r="BM30" s="175">
        <f>BH30*17/14</f>
        <v>0</v>
      </c>
      <c r="BN30" s="176">
        <f>SUM(BN21:BN29)</f>
        <v>0</v>
      </c>
    </row>
  </sheetData>
  <sheetProtection sheet="1" objects="1" scenarios="1" formatCells="0" formatColumns="0" formatRows="0"/>
  <mergeCells count="40">
    <mergeCell ref="AY18:BC18"/>
    <mergeCell ref="BD18:BE18"/>
    <mergeCell ref="BF18:BG18"/>
    <mergeCell ref="BL19:BL20"/>
    <mergeCell ref="BM19:BM20"/>
    <mergeCell ref="AD18:AG18"/>
    <mergeCell ref="AH18:AJ18"/>
    <mergeCell ref="AK18:AM18"/>
    <mergeCell ref="AN18:AV18"/>
    <mergeCell ref="AW18:AX18"/>
    <mergeCell ref="F18:J18"/>
    <mergeCell ref="K18:M18"/>
    <mergeCell ref="N18:S18"/>
    <mergeCell ref="T18:Y18"/>
    <mergeCell ref="Z18:AC18"/>
    <mergeCell ref="A18:A20"/>
    <mergeCell ref="B18:B20"/>
    <mergeCell ref="C18:C19"/>
    <mergeCell ref="D18:D19"/>
    <mergeCell ref="E18:E19"/>
    <mergeCell ref="A1:A3"/>
    <mergeCell ref="B1:B3"/>
    <mergeCell ref="C1:C2"/>
    <mergeCell ref="BL2:BL3"/>
    <mergeCell ref="D1:D2"/>
    <mergeCell ref="E1:E2"/>
    <mergeCell ref="BD1:BE1"/>
    <mergeCell ref="AW1:AX1"/>
    <mergeCell ref="AY1:BC1"/>
    <mergeCell ref="N1:S1"/>
    <mergeCell ref="T1:Y1"/>
    <mergeCell ref="Z1:AC1"/>
    <mergeCell ref="AD1:AG1"/>
    <mergeCell ref="AN1:AV1"/>
    <mergeCell ref="BM2:BM3"/>
    <mergeCell ref="F1:J1"/>
    <mergeCell ref="K1:M1"/>
    <mergeCell ref="AH1:AJ1"/>
    <mergeCell ref="AK1:AM1"/>
    <mergeCell ref="BF1:BG1"/>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5"/>
  <dimension ref="A1:Y52"/>
  <sheetViews>
    <sheetView zoomScale="70" zoomScaleNormal="70" workbookViewId="0">
      <pane xSplit="2" ySplit="2" topLeftCell="C9" activePane="bottomRight" state="frozen"/>
      <selection sqref="A1:XFD1048576"/>
      <selection pane="topRight" sqref="A1:XFD1048576"/>
      <selection pane="bottomLeft" sqref="A1:XFD1048576"/>
      <selection pane="bottomRight" activeCell="N33" sqref="N33"/>
    </sheetView>
  </sheetViews>
  <sheetFormatPr defaultColWidth="11.5546875" defaultRowHeight="14.4" x14ac:dyDescent="0.3"/>
  <cols>
    <col min="1" max="1" width="12.6640625" customWidth="1"/>
    <col min="2" max="2" width="37.88671875" customWidth="1"/>
    <col min="3" max="3" width="13.5546875" customWidth="1"/>
    <col min="4" max="4" width="12.109375" customWidth="1"/>
    <col min="5" max="5" width="13" customWidth="1"/>
    <col min="6" max="6" width="14" customWidth="1"/>
    <col min="7" max="7" width="14.109375" customWidth="1"/>
    <col min="8" max="8" width="15" customWidth="1"/>
    <col min="9" max="9" width="14.44140625" customWidth="1"/>
    <col min="10" max="10" width="14.5546875" customWidth="1"/>
    <col min="11" max="11" width="15.33203125" customWidth="1"/>
    <col min="12" max="12" width="17.5546875" customWidth="1"/>
    <col min="13" max="13" width="20.6640625" customWidth="1"/>
    <col min="14" max="14" width="17.5546875" customWidth="1"/>
    <col min="15" max="15" width="16.6640625" bestFit="1" customWidth="1"/>
    <col min="16" max="16" width="16.88671875" bestFit="1" customWidth="1"/>
    <col min="17" max="17" width="17.5546875" bestFit="1" customWidth="1"/>
    <col min="18" max="18" width="9" customWidth="1"/>
  </cols>
  <sheetData>
    <row r="1" spans="1:25" s="5" customFormat="1" x14ac:dyDescent="0.3">
      <c r="A1" s="559" t="s">
        <v>29</v>
      </c>
      <c r="B1" s="557" t="s">
        <v>6</v>
      </c>
      <c r="C1" s="555" t="s">
        <v>1</v>
      </c>
      <c r="D1" s="564"/>
      <c r="E1" s="565"/>
      <c r="F1" s="555" t="s">
        <v>124</v>
      </c>
      <c r="G1" s="564"/>
      <c r="H1" s="565"/>
      <c r="I1" s="555" t="s">
        <v>36</v>
      </c>
      <c r="J1" s="564"/>
      <c r="K1" s="564"/>
      <c r="L1" s="561" t="s">
        <v>57</v>
      </c>
      <c r="M1" s="562"/>
      <c r="N1" s="562"/>
      <c r="O1" s="561" t="s">
        <v>58</v>
      </c>
      <c r="P1" s="562"/>
      <c r="Q1" s="563"/>
      <c r="S1" s="561" t="s">
        <v>57</v>
      </c>
      <c r="T1" s="562"/>
      <c r="U1" s="563"/>
      <c r="W1" s="555" t="s">
        <v>273</v>
      </c>
      <c r="X1" s="556"/>
      <c r="Y1" s="444"/>
    </row>
    <row r="2" spans="1:25" s="15" customFormat="1" ht="12.75" customHeight="1" x14ac:dyDescent="0.35">
      <c r="A2" s="560"/>
      <c r="B2" s="558"/>
      <c r="C2" s="177" t="s">
        <v>171</v>
      </c>
      <c r="D2" s="13" t="s">
        <v>65</v>
      </c>
      <c r="E2" s="117" t="s">
        <v>66</v>
      </c>
      <c r="F2" s="116" t="s">
        <v>125</v>
      </c>
      <c r="G2" s="13" t="s">
        <v>126</v>
      </c>
      <c r="H2" s="117" t="s">
        <v>127</v>
      </c>
      <c r="I2" s="116" t="s">
        <v>17</v>
      </c>
      <c r="J2" s="13" t="s">
        <v>128</v>
      </c>
      <c r="K2" s="13" t="s">
        <v>19</v>
      </c>
      <c r="L2" s="116" t="s">
        <v>18</v>
      </c>
      <c r="M2" s="13" t="s">
        <v>20</v>
      </c>
      <c r="N2" s="14" t="s">
        <v>21</v>
      </c>
      <c r="O2" s="116" t="s">
        <v>22</v>
      </c>
      <c r="P2" s="13" t="s">
        <v>23</v>
      </c>
      <c r="Q2" s="117" t="s">
        <v>24</v>
      </c>
      <c r="S2" s="116" t="s">
        <v>78</v>
      </c>
      <c r="T2" s="13" t="s">
        <v>79</v>
      </c>
      <c r="U2" s="117" t="s">
        <v>80</v>
      </c>
      <c r="W2" s="295" t="s">
        <v>270</v>
      </c>
      <c r="X2" s="273" t="s">
        <v>271</v>
      </c>
    </row>
    <row r="3" spans="1:25" s="8" customFormat="1" x14ac:dyDescent="0.3">
      <c r="A3" s="109" t="s">
        <v>360</v>
      </c>
      <c r="B3" s="36" t="s">
        <v>173</v>
      </c>
      <c r="C3" s="135">
        <v>0.32</v>
      </c>
      <c r="D3" s="9">
        <v>1</v>
      </c>
      <c r="E3" s="130">
        <f>C3*D3</f>
        <v>0.32</v>
      </c>
      <c r="F3" s="293">
        <f>I3</f>
        <v>0.21</v>
      </c>
      <c r="G3" s="128">
        <v>1</v>
      </c>
      <c r="H3" s="119">
        <f>F3*G3</f>
        <v>0.21</v>
      </c>
      <c r="I3" s="287">
        <v>0.21</v>
      </c>
      <c r="J3" s="106">
        <f>VLOOKUP(Dades!G8,F.Emissió!$B$25:$H$40,7,FALSE)</f>
        <v>1</v>
      </c>
      <c r="K3" s="107">
        <f>I3*J3</f>
        <v>0.21</v>
      </c>
      <c r="L3" s="288">
        <v>0.3</v>
      </c>
      <c r="M3" s="106">
        <f>VLOOKUP(Dades!O8,F.Emissió!$K$25:$O$26,5,FALSE)</f>
        <v>1</v>
      </c>
      <c r="N3" s="10">
        <f>L3*M3</f>
        <v>0.3</v>
      </c>
      <c r="O3" s="287">
        <v>0.38</v>
      </c>
      <c r="P3" s="106">
        <f>VLOOKUP(Dades!S8,F.Emissió!$K$34:$O$38,5,FALSE)</f>
        <v>1</v>
      </c>
      <c r="Q3" s="119">
        <f>O3*P3</f>
        <v>0.38</v>
      </c>
      <c r="R3" s="15"/>
      <c r="S3" s="135">
        <v>2E-3</v>
      </c>
      <c r="T3" s="128">
        <v>0.3</v>
      </c>
      <c r="U3" s="136">
        <v>0.01</v>
      </c>
      <c r="V3" s="15"/>
      <c r="W3" s="118">
        <v>0.04</v>
      </c>
      <c r="X3" s="119">
        <v>0.02</v>
      </c>
    </row>
    <row r="4" spans="1:25" s="8" customFormat="1" x14ac:dyDescent="0.3">
      <c r="A4" s="153" t="s">
        <v>360</v>
      </c>
      <c r="B4" s="134" t="s">
        <v>176</v>
      </c>
      <c r="C4" s="135">
        <v>0.32</v>
      </c>
      <c r="D4" s="9">
        <v>1</v>
      </c>
      <c r="E4" s="130">
        <f t="shared" ref="E4:E19" si="0">C4*D4</f>
        <v>0.32</v>
      </c>
      <c r="F4" s="292">
        <f t="shared" ref="F4:F19" si="1">I4</f>
        <v>0.2</v>
      </c>
      <c r="G4" s="128">
        <v>1</v>
      </c>
      <c r="H4" s="119">
        <f t="shared" ref="H4:H19" si="2">F4*G4</f>
        <v>0.2</v>
      </c>
      <c r="I4" s="288">
        <v>0.2</v>
      </c>
      <c r="J4" s="106">
        <f>VLOOKUP(Dades!G10,F.Emissió!$B$25:$H$40,7,FALSE)</f>
        <v>1</v>
      </c>
      <c r="K4" s="107">
        <f t="shared" ref="K4:K18" si="3">I4*J4</f>
        <v>0.2</v>
      </c>
      <c r="L4" s="287">
        <v>0.08</v>
      </c>
      <c r="M4" s="106">
        <f>VLOOKUP(Dades!O10,F.Emissió!$K$25:$O$26,5,FALSE)</f>
        <v>1</v>
      </c>
      <c r="N4" s="10">
        <f t="shared" ref="N4:N19" si="4">L4*M4</f>
        <v>0.08</v>
      </c>
      <c r="O4" s="287">
        <v>0.45</v>
      </c>
      <c r="P4" s="106">
        <f>VLOOKUP(Dades!S10,F.Emissió!$K$34:$O$38,5,FALSE)</f>
        <v>1</v>
      </c>
      <c r="Q4" s="119">
        <f t="shared" ref="Q4:Q19" si="5">O4*P4</f>
        <v>0.45</v>
      </c>
      <c r="R4" s="15"/>
      <c r="S4" s="135">
        <v>2E-3</v>
      </c>
      <c r="T4" s="128">
        <v>0.3</v>
      </c>
      <c r="U4" s="136">
        <v>0.01</v>
      </c>
      <c r="V4" s="15"/>
      <c r="W4" s="118">
        <v>0.19</v>
      </c>
      <c r="X4" s="119">
        <v>0.04</v>
      </c>
    </row>
    <row r="5" spans="1:25" s="8" customFormat="1" x14ac:dyDescent="0.3">
      <c r="A5" s="153" t="s">
        <v>360</v>
      </c>
      <c r="B5" s="427" t="s">
        <v>263</v>
      </c>
      <c r="C5" s="135">
        <v>0.32</v>
      </c>
      <c r="D5" s="9">
        <v>1</v>
      </c>
      <c r="E5" s="130">
        <f>C5*D5</f>
        <v>0.32</v>
      </c>
      <c r="F5" s="293">
        <f>I5</f>
        <v>0.21</v>
      </c>
      <c r="G5" s="128">
        <v>1</v>
      </c>
      <c r="H5" s="119">
        <f>F5*G5</f>
        <v>0.21</v>
      </c>
      <c r="I5" s="287">
        <v>0.21</v>
      </c>
      <c r="J5" s="106">
        <f>VLOOKUP(Dades!G12,F.Emissió!$B$25:$H$40,7,FALSE)</f>
        <v>1</v>
      </c>
      <c r="K5" s="107">
        <f>I5*J5</f>
        <v>0.21</v>
      </c>
      <c r="L5" s="288">
        <v>0.3</v>
      </c>
      <c r="M5" s="106">
        <f>VLOOKUP(Dades!O12,F.Emissió!$K$25:$O$26,5,FALSE)</f>
        <v>1</v>
      </c>
      <c r="N5" s="10">
        <f>L5*M5</f>
        <v>0.3</v>
      </c>
      <c r="O5" s="287">
        <v>0.38</v>
      </c>
      <c r="P5" s="106">
        <f>VLOOKUP(Dades!S12,F.Emissió!$K$34:$O$38,5,FALSE)</f>
        <v>1</v>
      </c>
      <c r="Q5" s="119">
        <f>O5*P5</f>
        <v>0.38</v>
      </c>
      <c r="R5" s="15"/>
      <c r="S5" s="135">
        <v>2E-3</v>
      </c>
      <c r="T5" s="128">
        <v>0.3</v>
      </c>
      <c r="U5" s="136">
        <v>0.01</v>
      </c>
      <c r="V5" s="15"/>
      <c r="W5" s="118">
        <v>0.04</v>
      </c>
      <c r="X5" s="119">
        <v>0.02</v>
      </c>
    </row>
    <row r="6" spans="1:25" s="232" customFormat="1" x14ac:dyDescent="0.3">
      <c r="A6" s="153" t="s">
        <v>360</v>
      </c>
      <c r="B6" s="427" t="s">
        <v>264</v>
      </c>
      <c r="C6" s="135">
        <v>0.32</v>
      </c>
      <c r="D6" s="9">
        <v>1</v>
      </c>
      <c r="E6" s="119">
        <f>C6*D6</f>
        <v>0.32</v>
      </c>
      <c r="F6" s="292">
        <f>I6</f>
        <v>0.2</v>
      </c>
      <c r="G6" s="128">
        <v>1</v>
      </c>
      <c r="H6" s="119">
        <f t="shared" ref="H6" si="6">F6*G6</f>
        <v>0.2</v>
      </c>
      <c r="I6" s="288">
        <v>0.2</v>
      </c>
      <c r="J6" s="106">
        <f>VLOOKUP(Dades!G14,F.Emissió!$B$25:$H$40,7,FALSE)</f>
        <v>1</v>
      </c>
      <c r="K6" s="107">
        <f>I6*J6</f>
        <v>0.2</v>
      </c>
      <c r="L6" s="287">
        <v>0.08</v>
      </c>
      <c r="M6" s="106">
        <f>VLOOKUP(Dades!O14,F.Emissió!$K$25:$O$26,5,FALSE)</f>
        <v>1</v>
      </c>
      <c r="N6" s="10">
        <f t="shared" ref="N6" si="7">L6*M6</f>
        <v>0.08</v>
      </c>
      <c r="O6" s="287">
        <v>0.45</v>
      </c>
      <c r="P6" s="106">
        <f>VLOOKUP(Dades!S14,F.Emissió!$K$34:$O$38,5,FALSE)</f>
        <v>1</v>
      </c>
      <c r="Q6" s="119">
        <f t="shared" ref="Q6" si="8">O6*P6</f>
        <v>0.45</v>
      </c>
      <c r="R6" s="2"/>
      <c r="S6" s="135">
        <v>2E-3</v>
      </c>
      <c r="T6" s="128">
        <v>0.3</v>
      </c>
      <c r="U6" s="136">
        <v>0.01</v>
      </c>
      <c r="V6" s="15"/>
      <c r="W6" s="118">
        <v>0.19</v>
      </c>
      <c r="X6" s="119">
        <v>0.04</v>
      </c>
    </row>
    <row r="7" spans="1:25" s="8" customFormat="1" x14ac:dyDescent="0.3">
      <c r="A7" s="153" t="s">
        <v>360</v>
      </c>
      <c r="B7" s="134" t="s">
        <v>175</v>
      </c>
      <c r="C7" s="135">
        <v>0.32</v>
      </c>
      <c r="D7" s="9">
        <v>1</v>
      </c>
      <c r="E7" s="130">
        <f>C7*D7</f>
        <v>0.32</v>
      </c>
      <c r="F7" s="293">
        <f>I7</f>
        <v>0.21</v>
      </c>
      <c r="G7" s="128">
        <v>1</v>
      </c>
      <c r="H7" s="119">
        <f>F7*G7</f>
        <v>0.21</v>
      </c>
      <c r="I7" s="287">
        <v>0.21</v>
      </c>
      <c r="J7" s="106">
        <f>VLOOKUP(Dades!G16,F.Emissió!$B$31:$H$40,7,FALSE)</f>
        <v>1</v>
      </c>
      <c r="K7" s="107">
        <f>I7*J7</f>
        <v>0.21</v>
      </c>
      <c r="L7" s="288">
        <v>0.3</v>
      </c>
      <c r="M7" s="106">
        <f>VLOOKUP(Dades!O16,F.Emissió!$K$25:$O$26,5,FALSE)</f>
        <v>1</v>
      </c>
      <c r="N7" s="10">
        <f>L7*M7</f>
        <v>0.3</v>
      </c>
      <c r="O7" s="287">
        <v>0.38</v>
      </c>
      <c r="P7" s="106">
        <f>VLOOKUP(Dades!S16,F.Emissió!$K$34:$O$38,5,FALSE)</f>
        <v>1</v>
      </c>
      <c r="Q7" s="119">
        <f>O7*P7</f>
        <v>0.38</v>
      </c>
      <c r="R7" s="15"/>
      <c r="S7" s="135">
        <v>2E-3</v>
      </c>
      <c r="T7" s="128">
        <v>0.3</v>
      </c>
      <c r="U7" s="136">
        <v>0.01</v>
      </c>
      <c r="V7" s="15"/>
      <c r="W7" s="118">
        <v>0.04</v>
      </c>
      <c r="X7" s="119">
        <v>0.02</v>
      </c>
    </row>
    <row r="8" spans="1:25" s="232" customFormat="1" x14ac:dyDescent="0.3">
      <c r="A8" s="153" t="s">
        <v>360</v>
      </c>
      <c r="B8" s="134" t="s">
        <v>178</v>
      </c>
      <c r="C8" s="135">
        <v>0.32</v>
      </c>
      <c r="D8" s="9">
        <v>1</v>
      </c>
      <c r="E8" s="119">
        <f>C8*D8</f>
        <v>0.32</v>
      </c>
      <c r="F8" s="292">
        <f>I8</f>
        <v>0.2</v>
      </c>
      <c r="G8" s="128">
        <v>1</v>
      </c>
      <c r="H8" s="119">
        <f t="shared" ref="H8:H11" si="9">F8*G8</f>
        <v>0.2</v>
      </c>
      <c r="I8" s="288">
        <v>0.2</v>
      </c>
      <c r="J8" s="106">
        <f>VLOOKUP(Dades!G18,F.Emissió!$B$25:$H$40,7,FALSE)</f>
        <v>1</v>
      </c>
      <c r="K8" s="107">
        <f>I8*J8</f>
        <v>0.2</v>
      </c>
      <c r="L8" s="287">
        <v>0.08</v>
      </c>
      <c r="M8" s="106">
        <f>VLOOKUP(Dades!O18,F.Emissió!$K$25:$O$26,5,FALSE)</f>
        <v>1</v>
      </c>
      <c r="N8" s="10">
        <f t="shared" ref="N8:N11" si="10">L8*M8</f>
        <v>0.08</v>
      </c>
      <c r="O8" s="287">
        <v>0.45</v>
      </c>
      <c r="P8" s="106">
        <f>VLOOKUP(Dades!S18,F.Emissió!$K$34:$O$38,5,FALSE)</f>
        <v>1</v>
      </c>
      <c r="Q8" s="119">
        <f t="shared" ref="Q8:Q11" si="11">O8*P8</f>
        <v>0.45</v>
      </c>
      <c r="R8" s="2"/>
      <c r="S8" s="135">
        <v>2E-3</v>
      </c>
      <c r="T8" s="128">
        <v>0.3</v>
      </c>
      <c r="U8" s="136">
        <v>0.01</v>
      </c>
      <c r="V8" s="15"/>
      <c r="W8" s="118">
        <v>0.19</v>
      </c>
      <c r="X8" s="119">
        <v>0.04</v>
      </c>
    </row>
    <row r="9" spans="1:25" s="8" customFormat="1" x14ac:dyDescent="0.3">
      <c r="A9" s="202" t="s">
        <v>361</v>
      </c>
      <c r="B9" s="202" t="s">
        <v>179</v>
      </c>
      <c r="C9" s="135">
        <v>0.32</v>
      </c>
      <c r="D9" s="9">
        <v>1</v>
      </c>
      <c r="E9" s="130">
        <f t="shared" ref="E9:E11" si="12">C9*D9</f>
        <v>0.32</v>
      </c>
      <c r="F9" s="293">
        <f t="shared" ref="F9:F11" si="13">I9</f>
        <v>0.21</v>
      </c>
      <c r="G9" s="128">
        <v>1</v>
      </c>
      <c r="H9" s="119">
        <f t="shared" si="9"/>
        <v>0.21</v>
      </c>
      <c r="I9" s="287">
        <v>0.21</v>
      </c>
      <c r="J9" s="106">
        <f>VLOOKUP(Dades!G24,F.Emissió!$B$25:$H$40,7,FALSE)</f>
        <v>1</v>
      </c>
      <c r="K9" s="107">
        <f t="shared" ref="K9:K11" si="14">I9*J9</f>
        <v>0.21</v>
      </c>
      <c r="L9" s="288">
        <v>0.3</v>
      </c>
      <c r="M9" s="106">
        <f>VLOOKUP(Dades!O24,F.Emissió!$K$25:$O$26,5,FALSE)</f>
        <v>1</v>
      </c>
      <c r="N9" s="10">
        <f t="shared" si="10"/>
        <v>0.3</v>
      </c>
      <c r="O9" s="287">
        <v>0.38</v>
      </c>
      <c r="P9" s="106">
        <f>VLOOKUP(Dades!S24,F.Emissió!$K$34:$O$38,5,FALSE)</f>
        <v>1</v>
      </c>
      <c r="Q9" s="119">
        <f t="shared" si="11"/>
        <v>0.38</v>
      </c>
      <c r="R9" s="15"/>
      <c r="S9" s="135">
        <v>2E-3</v>
      </c>
      <c r="T9" s="128">
        <v>0.3</v>
      </c>
      <c r="U9" s="136">
        <v>0.01</v>
      </c>
      <c r="V9" s="15"/>
      <c r="W9" s="118">
        <v>0.04</v>
      </c>
      <c r="X9" s="119">
        <v>0.02</v>
      </c>
    </row>
    <row r="10" spans="1:25" s="8" customFormat="1" x14ac:dyDescent="0.3">
      <c r="A10" s="202" t="s">
        <v>361</v>
      </c>
      <c r="B10" s="202" t="s">
        <v>180</v>
      </c>
      <c r="C10" s="135">
        <v>0.32</v>
      </c>
      <c r="D10" s="9">
        <v>1</v>
      </c>
      <c r="E10" s="130">
        <f t="shared" si="12"/>
        <v>0.32</v>
      </c>
      <c r="F10" s="293">
        <f t="shared" si="13"/>
        <v>0.21</v>
      </c>
      <c r="G10" s="128">
        <v>1</v>
      </c>
      <c r="H10" s="119">
        <f t="shared" si="9"/>
        <v>0.21</v>
      </c>
      <c r="I10" s="287">
        <v>0.21</v>
      </c>
      <c r="J10" s="106">
        <f>VLOOKUP(Dades!G26,F.Emissió!$B$25:$H$40,7,FALSE)</f>
        <v>1</v>
      </c>
      <c r="K10" s="107">
        <f t="shared" si="14"/>
        <v>0.21</v>
      </c>
      <c r="L10" s="288">
        <v>0.3</v>
      </c>
      <c r="M10" s="106">
        <f>VLOOKUP(Dades!O26,F.Emissió!$K$25:$O$26,5,FALSE)</f>
        <v>1</v>
      </c>
      <c r="N10" s="10">
        <f t="shared" si="10"/>
        <v>0.3</v>
      </c>
      <c r="O10" s="287">
        <v>0.38</v>
      </c>
      <c r="P10" s="106">
        <f>VLOOKUP(Dades!S26,F.Emissió!$K$34:$O$38,5,FALSE)</f>
        <v>1</v>
      </c>
      <c r="Q10" s="119">
        <f t="shared" si="11"/>
        <v>0.38</v>
      </c>
      <c r="R10" s="15"/>
      <c r="S10" s="135">
        <v>2E-3</v>
      </c>
      <c r="T10" s="128">
        <v>0.3</v>
      </c>
      <c r="U10" s="136">
        <v>0.01</v>
      </c>
      <c r="V10" s="15"/>
      <c r="W10" s="118">
        <v>0.04</v>
      </c>
      <c r="X10" s="119">
        <v>0.02</v>
      </c>
    </row>
    <row r="11" spans="1:25" s="8" customFormat="1" ht="15" thickBot="1" x14ac:dyDescent="0.35">
      <c r="A11" s="202" t="s">
        <v>361</v>
      </c>
      <c r="B11" s="202" t="s">
        <v>181</v>
      </c>
      <c r="C11" s="135">
        <v>0.32</v>
      </c>
      <c r="D11" s="9">
        <v>1</v>
      </c>
      <c r="E11" s="130">
        <f t="shared" si="12"/>
        <v>0.32</v>
      </c>
      <c r="F11" s="293">
        <f t="shared" si="13"/>
        <v>0.21</v>
      </c>
      <c r="G11" s="128">
        <v>1</v>
      </c>
      <c r="H11" s="119">
        <f t="shared" si="9"/>
        <v>0.21</v>
      </c>
      <c r="I11" s="287">
        <v>0.21</v>
      </c>
      <c r="J11" s="106">
        <f>VLOOKUP(Dades!G28,F.Emissió!$B$25:$H$40,7,FALSE)</f>
        <v>1</v>
      </c>
      <c r="K11" s="107">
        <f t="shared" si="14"/>
        <v>0.21</v>
      </c>
      <c r="L11" s="288">
        <v>0.3</v>
      </c>
      <c r="M11" s="106">
        <f>VLOOKUP(Dades!O28,F.Emissió!$K$25:$O$26,5,FALSE)</f>
        <v>1</v>
      </c>
      <c r="N11" s="10">
        <f t="shared" si="10"/>
        <v>0.3</v>
      </c>
      <c r="O11" s="287">
        <v>0.38</v>
      </c>
      <c r="P11" s="106">
        <f>VLOOKUP(Dades!S28,F.Emissió!$K$34:$O$38,5,FALSE)</f>
        <v>1</v>
      </c>
      <c r="Q11" s="119">
        <f t="shared" si="11"/>
        <v>0.38</v>
      </c>
      <c r="R11" s="15"/>
      <c r="S11" s="135">
        <v>2E-3</v>
      </c>
      <c r="T11" s="128">
        <v>0.3</v>
      </c>
      <c r="U11" s="136">
        <v>0.01</v>
      </c>
      <c r="V11" s="15"/>
      <c r="W11" s="291">
        <v>0.04</v>
      </c>
      <c r="X11" s="296">
        <v>0.02</v>
      </c>
    </row>
    <row r="12" spans="1:25" s="216" customFormat="1" hidden="1" x14ac:dyDescent="0.3">
      <c r="A12" s="233" t="s">
        <v>154</v>
      </c>
      <c r="B12" s="234" t="s">
        <v>155</v>
      </c>
      <c r="C12" s="235">
        <v>0.32</v>
      </c>
      <c r="D12" s="236">
        <v>1</v>
      </c>
      <c r="E12" s="237">
        <f t="shared" si="0"/>
        <v>0.32</v>
      </c>
      <c r="F12" s="235">
        <f t="shared" si="1"/>
        <v>0.41</v>
      </c>
      <c r="G12" s="238">
        <v>1</v>
      </c>
      <c r="H12" s="239">
        <f t="shared" si="2"/>
        <v>0.41</v>
      </c>
      <c r="I12" s="240">
        <v>0.41</v>
      </c>
      <c r="J12" s="212">
        <f>VLOOKUP(Dades!G12,F.Emissió!$B$25:$H$40,7,FALSE)</f>
        <v>1</v>
      </c>
      <c r="K12" s="241">
        <f t="shared" si="3"/>
        <v>0.41</v>
      </c>
      <c r="L12" s="240">
        <v>0.14000000000000001</v>
      </c>
      <c r="M12" s="212">
        <f>VLOOKUP(Dades!O12,F.Emissió!$K$25:$O$26,5,FALSE)</f>
        <v>1</v>
      </c>
      <c r="N12" s="242">
        <f t="shared" si="4"/>
        <v>0.14000000000000001</v>
      </c>
      <c r="O12" s="240">
        <v>0.69</v>
      </c>
      <c r="P12" s="212">
        <f>VLOOKUP(Dades!S12,F.Emissió!$K$34:$O$38,5,FALSE)</f>
        <v>1</v>
      </c>
      <c r="Q12" s="239">
        <f t="shared" si="5"/>
        <v>0.69</v>
      </c>
      <c r="R12" s="243"/>
      <c r="S12" s="235">
        <v>2E-3</v>
      </c>
      <c r="T12" s="238">
        <v>0.3</v>
      </c>
      <c r="U12" s="244">
        <v>0.01</v>
      </c>
      <c r="W12" s="243"/>
      <c r="X12" s="243"/>
    </row>
    <row r="13" spans="1:25" s="216" customFormat="1" hidden="1" x14ac:dyDescent="0.3">
      <c r="A13" s="233" t="s">
        <v>154</v>
      </c>
      <c r="B13" s="234" t="s">
        <v>156</v>
      </c>
      <c r="C13" s="235">
        <v>0.32</v>
      </c>
      <c r="D13" s="236">
        <v>1</v>
      </c>
      <c r="E13" s="237">
        <f t="shared" si="0"/>
        <v>0.32</v>
      </c>
      <c r="F13" s="235">
        <f t="shared" si="1"/>
        <v>0.41</v>
      </c>
      <c r="G13" s="238">
        <v>1</v>
      </c>
      <c r="H13" s="239">
        <f t="shared" si="2"/>
        <v>0.41</v>
      </c>
      <c r="I13" s="240">
        <v>0.41</v>
      </c>
      <c r="J13" s="212">
        <f>VLOOKUP(Dades!G14,F.Emissió!$B$25:$H$40,7,FALSE)</f>
        <v>1</v>
      </c>
      <c r="K13" s="241">
        <f t="shared" si="3"/>
        <v>0.41</v>
      </c>
      <c r="L13" s="240">
        <v>0.14000000000000001</v>
      </c>
      <c r="M13" s="212">
        <f>VLOOKUP(Dades!O14,F.Emissió!$K$25:$O$26,5,FALSE)</f>
        <v>1</v>
      </c>
      <c r="N13" s="242">
        <f t="shared" si="4"/>
        <v>0.14000000000000001</v>
      </c>
      <c r="O13" s="240">
        <v>0.69</v>
      </c>
      <c r="P13" s="212">
        <f>VLOOKUP(Dades!S14,F.Emissió!$K$34:$O$38,5,FALSE)</f>
        <v>1</v>
      </c>
      <c r="Q13" s="239">
        <f t="shared" si="5"/>
        <v>0.69</v>
      </c>
      <c r="R13" s="243"/>
      <c r="S13" s="235">
        <v>2E-3</v>
      </c>
      <c r="T13" s="238">
        <v>0.3</v>
      </c>
      <c r="U13" s="244">
        <v>0.01</v>
      </c>
      <c r="W13" s="243"/>
      <c r="X13" s="243"/>
    </row>
    <row r="14" spans="1:25" s="216" customFormat="1" hidden="1" x14ac:dyDescent="0.3">
      <c r="A14" s="233" t="s">
        <v>154</v>
      </c>
      <c r="B14" s="234" t="s">
        <v>157</v>
      </c>
      <c r="C14" s="235">
        <v>0.32</v>
      </c>
      <c r="D14" s="236">
        <v>1</v>
      </c>
      <c r="E14" s="237">
        <f t="shared" si="0"/>
        <v>0.32</v>
      </c>
      <c r="F14" s="235">
        <f t="shared" si="1"/>
        <v>0.41</v>
      </c>
      <c r="G14" s="238">
        <v>1</v>
      </c>
      <c r="H14" s="239">
        <f t="shared" si="2"/>
        <v>0.41</v>
      </c>
      <c r="I14" s="240">
        <v>0.41</v>
      </c>
      <c r="J14" s="212" t="e">
        <f>VLOOKUP(Dades!#REF!,F.Emissió!$B$25:$H$40,7,FALSE)</f>
        <v>#REF!</v>
      </c>
      <c r="K14" s="241" t="e">
        <f t="shared" si="3"/>
        <v>#REF!</v>
      </c>
      <c r="L14" s="240">
        <v>0.14000000000000001</v>
      </c>
      <c r="M14" s="212" t="e">
        <f>VLOOKUP(Dades!#REF!,F.Emissió!$K$25:$O$26,5,FALSE)</f>
        <v>#REF!</v>
      </c>
      <c r="N14" s="242" t="e">
        <f t="shared" si="4"/>
        <v>#REF!</v>
      </c>
      <c r="O14" s="240">
        <v>0.69</v>
      </c>
      <c r="P14" s="212" t="e">
        <f>VLOOKUP(Dades!#REF!,F.Emissió!$K$34:$O$38,5,FALSE)</f>
        <v>#REF!</v>
      </c>
      <c r="Q14" s="239" t="e">
        <f t="shared" si="5"/>
        <v>#REF!</v>
      </c>
      <c r="R14" s="243"/>
      <c r="S14" s="235">
        <v>2E-3</v>
      </c>
      <c r="T14" s="238">
        <v>0.3</v>
      </c>
      <c r="U14" s="244">
        <v>0.01</v>
      </c>
      <c r="W14" s="243"/>
      <c r="X14" s="243"/>
    </row>
    <row r="15" spans="1:25" s="216" customFormat="1" hidden="1" x14ac:dyDescent="0.3">
      <c r="A15" s="233" t="s">
        <v>154</v>
      </c>
      <c r="B15" s="234" t="s">
        <v>158</v>
      </c>
      <c r="C15" s="235">
        <v>0.32</v>
      </c>
      <c r="D15" s="236">
        <v>1</v>
      </c>
      <c r="E15" s="237">
        <f t="shared" si="0"/>
        <v>0.32</v>
      </c>
      <c r="F15" s="235">
        <f t="shared" si="1"/>
        <v>0.28000000000000003</v>
      </c>
      <c r="G15" s="238">
        <v>1</v>
      </c>
      <c r="H15" s="239">
        <f t="shared" si="2"/>
        <v>0.28000000000000003</v>
      </c>
      <c r="I15" s="240">
        <v>0.28000000000000003</v>
      </c>
      <c r="J15" s="212" t="e">
        <f>VLOOKUP(Dades!#REF!,F.Emissió!$B$25:$H$40,7,FALSE)</f>
        <v>#REF!</v>
      </c>
      <c r="K15" s="241" t="e">
        <f t="shared" si="3"/>
        <v>#REF!</v>
      </c>
      <c r="L15" s="240">
        <v>0.17</v>
      </c>
      <c r="M15" s="212" t="e">
        <f>VLOOKUP(Dades!#REF!,F.Emissió!$K$25:$O$26,5,FALSE)</f>
        <v>#REF!</v>
      </c>
      <c r="N15" s="242" t="e">
        <f t="shared" si="4"/>
        <v>#REF!</v>
      </c>
      <c r="O15" s="240">
        <v>0.66</v>
      </c>
      <c r="P15" s="212" t="e">
        <f>VLOOKUP(Dades!#REF!,F.Emissió!$K$34:$O$38,5,FALSE)</f>
        <v>#REF!</v>
      </c>
      <c r="Q15" s="239" t="e">
        <f t="shared" si="5"/>
        <v>#REF!</v>
      </c>
      <c r="R15" s="243"/>
      <c r="S15" s="235">
        <v>2E-3</v>
      </c>
      <c r="T15" s="238">
        <v>0.3</v>
      </c>
      <c r="U15" s="244">
        <v>0.01</v>
      </c>
      <c r="W15" s="243"/>
      <c r="X15" s="243"/>
    </row>
    <row r="16" spans="1:25" s="216" customFormat="1" hidden="1" x14ac:dyDescent="0.3">
      <c r="A16" s="233" t="s">
        <v>154</v>
      </c>
      <c r="B16" s="234" t="s">
        <v>159</v>
      </c>
      <c r="C16" s="235">
        <v>0.32</v>
      </c>
      <c r="D16" s="236">
        <v>1</v>
      </c>
      <c r="E16" s="237">
        <f t="shared" si="0"/>
        <v>0.32</v>
      </c>
      <c r="F16" s="235">
        <f t="shared" si="1"/>
        <v>0.41</v>
      </c>
      <c r="G16" s="238">
        <v>1</v>
      </c>
      <c r="H16" s="239">
        <f t="shared" si="2"/>
        <v>0.41</v>
      </c>
      <c r="I16" s="240">
        <v>0.41</v>
      </c>
      <c r="J16" s="212" t="e">
        <f>VLOOKUP(Dades!#REF!,F.Emissió!$B$25:$H$40,7,FALSE)</f>
        <v>#REF!</v>
      </c>
      <c r="K16" s="241" t="e">
        <f t="shared" si="3"/>
        <v>#REF!</v>
      </c>
      <c r="L16" s="240">
        <v>0.14000000000000001</v>
      </c>
      <c r="M16" s="212" t="e">
        <f>VLOOKUP(Dades!#REF!,F.Emissió!$K$25:$O$26,5,FALSE)</f>
        <v>#REF!</v>
      </c>
      <c r="N16" s="242" t="e">
        <f t="shared" si="4"/>
        <v>#REF!</v>
      </c>
      <c r="O16" s="240">
        <v>0.69</v>
      </c>
      <c r="P16" s="212" t="e">
        <f>VLOOKUP(Dades!#REF!,F.Emissió!$K$34:$O$38,5,FALSE)</f>
        <v>#REF!</v>
      </c>
      <c r="Q16" s="239" t="e">
        <f t="shared" si="5"/>
        <v>#REF!</v>
      </c>
      <c r="R16" s="243"/>
      <c r="S16" s="235">
        <v>2E-3</v>
      </c>
      <c r="T16" s="238">
        <v>0.3</v>
      </c>
      <c r="U16" s="244">
        <v>0.01</v>
      </c>
      <c r="W16" s="243"/>
      <c r="X16" s="243"/>
    </row>
    <row r="17" spans="1:24" s="216" customFormat="1" hidden="1" x14ac:dyDescent="0.3">
      <c r="A17" s="233" t="s">
        <v>154</v>
      </c>
      <c r="B17" s="234" t="s">
        <v>160</v>
      </c>
      <c r="C17" s="235">
        <v>0.32</v>
      </c>
      <c r="D17" s="236">
        <v>1</v>
      </c>
      <c r="E17" s="237">
        <f t="shared" si="0"/>
        <v>0.32</v>
      </c>
      <c r="F17" s="235">
        <f t="shared" si="1"/>
        <v>0.41</v>
      </c>
      <c r="G17" s="238">
        <v>1</v>
      </c>
      <c r="H17" s="239">
        <f t="shared" si="2"/>
        <v>0.41</v>
      </c>
      <c r="I17" s="240">
        <v>0.41</v>
      </c>
      <c r="J17" s="212" t="e">
        <f>VLOOKUP(Dades!#REF!,F.Emissió!$B$25:$H$40,7,FALSE)</f>
        <v>#REF!</v>
      </c>
      <c r="K17" s="241" t="e">
        <f t="shared" si="3"/>
        <v>#REF!</v>
      </c>
      <c r="L17" s="240">
        <v>0.14000000000000001</v>
      </c>
      <c r="M17" s="212" t="e">
        <f>VLOOKUP(Dades!#REF!,F.Emissió!$K$25:$O$26,5,FALSE)</f>
        <v>#REF!</v>
      </c>
      <c r="N17" s="242" t="e">
        <f t="shared" si="4"/>
        <v>#REF!</v>
      </c>
      <c r="O17" s="240">
        <v>0.69</v>
      </c>
      <c r="P17" s="212" t="e">
        <f>VLOOKUP(Dades!#REF!,F.Emissió!$K$34:$O$38,5,FALSE)</f>
        <v>#REF!</v>
      </c>
      <c r="Q17" s="239" t="e">
        <f t="shared" si="5"/>
        <v>#REF!</v>
      </c>
      <c r="R17" s="243"/>
      <c r="S17" s="235">
        <v>2E-3</v>
      </c>
      <c r="T17" s="238">
        <v>0.3</v>
      </c>
      <c r="U17" s="244">
        <v>0.01</v>
      </c>
      <c r="W17" s="243"/>
      <c r="X17" s="243"/>
    </row>
    <row r="18" spans="1:24" s="216" customFormat="1" hidden="1" x14ac:dyDescent="0.3">
      <c r="A18" s="233" t="s">
        <v>154</v>
      </c>
      <c r="B18" s="234" t="s">
        <v>161</v>
      </c>
      <c r="C18" s="235">
        <v>0.32</v>
      </c>
      <c r="D18" s="236">
        <v>1</v>
      </c>
      <c r="E18" s="237">
        <f t="shared" si="0"/>
        <v>0.32</v>
      </c>
      <c r="F18" s="235">
        <f t="shared" si="1"/>
        <v>0.41</v>
      </c>
      <c r="G18" s="238">
        <v>1</v>
      </c>
      <c r="H18" s="239">
        <f t="shared" si="2"/>
        <v>0.41</v>
      </c>
      <c r="I18" s="240">
        <v>0.41</v>
      </c>
      <c r="J18" s="212" t="e">
        <f>VLOOKUP(Dades!#REF!,F.Emissió!$B$25:$H$40,7,FALSE)</f>
        <v>#REF!</v>
      </c>
      <c r="K18" s="241" t="e">
        <f t="shared" si="3"/>
        <v>#REF!</v>
      </c>
      <c r="L18" s="240">
        <v>0.14000000000000001</v>
      </c>
      <c r="M18" s="212" t="e">
        <f>VLOOKUP(Dades!#REF!,F.Emissió!$K$25:$O$26,5,FALSE)</f>
        <v>#REF!</v>
      </c>
      <c r="N18" s="242" t="e">
        <f t="shared" si="4"/>
        <v>#REF!</v>
      </c>
      <c r="O18" s="240">
        <v>0.69</v>
      </c>
      <c r="P18" s="212" t="e">
        <f>VLOOKUP(Dades!#REF!,F.Emissió!$K$34:$O$38,5,FALSE)</f>
        <v>#REF!</v>
      </c>
      <c r="Q18" s="239" t="e">
        <f t="shared" si="5"/>
        <v>#REF!</v>
      </c>
      <c r="R18" s="243"/>
      <c r="S18" s="235">
        <v>2E-3</v>
      </c>
      <c r="T18" s="238">
        <v>0.3</v>
      </c>
      <c r="U18" s="244">
        <v>0.01</v>
      </c>
      <c r="W18" s="243"/>
      <c r="X18" s="243"/>
    </row>
    <row r="19" spans="1:24" s="216" customFormat="1" hidden="1" x14ac:dyDescent="0.3">
      <c r="A19" s="233" t="s">
        <v>154</v>
      </c>
      <c r="B19" s="234" t="s">
        <v>162</v>
      </c>
      <c r="C19" s="235">
        <v>0.32</v>
      </c>
      <c r="D19" s="236">
        <v>1</v>
      </c>
      <c r="E19" s="237">
        <f t="shared" si="0"/>
        <v>0.32</v>
      </c>
      <c r="F19" s="235">
        <f t="shared" si="1"/>
        <v>0.41</v>
      </c>
      <c r="G19" s="238">
        <v>1</v>
      </c>
      <c r="H19" s="239">
        <f t="shared" si="2"/>
        <v>0.41</v>
      </c>
      <c r="I19" s="240">
        <v>0.41</v>
      </c>
      <c r="J19" s="212" t="e">
        <f>VLOOKUP(Dades!#REF!,F.Emissió!$B$25:$H$40,7,FALSE)</f>
        <v>#REF!</v>
      </c>
      <c r="K19" s="241" t="e">
        <f>I19*J19</f>
        <v>#REF!</v>
      </c>
      <c r="L19" s="240">
        <v>0.14000000000000001</v>
      </c>
      <c r="M19" s="212" t="e">
        <f>VLOOKUP(Dades!#REF!,F.Emissió!$K$25:$O$26,5,FALSE)</f>
        <v>#REF!</v>
      </c>
      <c r="N19" s="242" t="e">
        <f t="shared" si="4"/>
        <v>#REF!</v>
      </c>
      <c r="O19" s="240">
        <v>0.69</v>
      </c>
      <c r="P19" s="212" t="e">
        <f>VLOOKUP(Dades!#REF!,F.Emissió!$K$34:$O$38,5,FALSE)</f>
        <v>#REF!</v>
      </c>
      <c r="Q19" s="239" t="e">
        <f t="shared" si="5"/>
        <v>#REF!</v>
      </c>
      <c r="R19" s="243"/>
      <c r="S19" s="235">
        <v>2E-3</v>
      </c>
      <c r="T19" s="238">
        <v>0.3</v>
      </c>
      <c r="U19" s="244">
        <v>0.01</v>
      </c>
      <c r="W19" s="243"/>
      <c r="X19" s="243"/>
    </row>
    <row r="20" spans="1:24" x14ac:dyDescent="0.3">
      <c r="F20" s="123"/>
      <c r="W20" s="15"/>
      <c r="X20" s="15"/>
    </row>
    <row r="22" spans="1:24" ht="15.6" x14ac:dyDescent="0.3">
      <c r="A22" s="108" t="s">
        <v>119</v>
      </c>
      <c r="G22" s="98"/>
      <c r="H22" s="101"/>
      <c r="J22" s="108" t="s">
        <v>119</v>
      </c>
    </row>
    <row r="23" spans="1:24" x14ac:dyDescent="0.3">
      <c r="G23" s="98"/>
      <c r="H23" s="101"/>
    </row>
    <row r="24" spans="1:24" x14ac:dyDescent="0.3">
      <c r="A24" s="96" t="s">
        <v>309</v>
      </c>
      <c r="B24" s="96"/>
      <c r="C24" s="96"/>
      <c r="D24" s="96"/>
      <c r="E24" s="96"/>
      <c r="F24" s="120" t="s">
        <v>310</v>
      </c>
      <c r="G24" s="100" t="s">
        <v>319</v>
      </c>
      <c r="H24" s="99" t="s">
        <v>118</v>
      </c>
      <c r="I24" s="286"/>
      <c r="J24" s="124" t="s">
        <v>362</v>
      </c>
      <c r="K24" s="125"/>
      <c r="L24" s="125"/>
      <c r="N24" s="126" t="s">
        <v>319</v>
      </c>
      <c r="O24" s="127" t="s">
        <v>118</v>
      </c>
    </row>
    <row r="25" spans="1:24" x14ac:dyDescent="0.3">
      <c r="A25" s="97" t="s">
        <v>283</v>
      </c>
      <c r="B25" s="408" t="s">
        <v>251</v>
      </c>
      <c r="F25" s="15" t="s">
        <v>311</v>
      </c>
      <c r="G25" s="121">
        <v>0</v>
      </c>
      <c r="H25" s="122">
        <f t="shared" ref="H25:H40" si="15">1-G25</f>
        <v>1</v>
      </c>
      <c r="J25" s="97" t="s">
        <v>296</v>
      </c>
      <c r="K25" s="294" t="s">
        <v>206</v>
      </c>
      <c r="N25" s="101">
        <v>0</v>
      </c>
      <c r="O25" s="101">
        <f>1-N25</f>
        <v>1</v>
      </c>
    </row>
    <row r="26" spans="1:24" ht="15" customHeight="1" x14ac:dyDescent="0.3">
      <c r="A26" s="97" t="s">
        <v>284</v>
      </c>
      <c r="B26" s="408" t="s">
        <v>252</v>
      </c>
      <c r="F26" s="15" t="s">
        <v>311</v>
      </c>
      <c r="G26" s="121">
        <v>0.3</v>
      </c>
      <c r="H26" s="122">
        <f t="shared" si="15"/>
        <v>0.7</v>
      </c>
      <c r="J26" s="97" t="s">
        <v>297</v>
      </c>
      <c r="K26" s="294" t="s">
        <v>207</v>
      </c>
      <c r="L26" s="115"/>
      <c r="N26" s="98">
        <v>0.8</v>
      </c>
      <c r="O26" s="101">
        <f>1-N26</f>
        <v>0.19999999999999996</v>
      </c>
    </row>
    <row r="27" spans="1:24" ht="15" customHeight="1" x14ac:dyDescent="0.3">
      <c r="A27" s="97" t="s">
        <v>285</v>
      </c>
      <c r="B27" s="408" t="s">
        <v>253</v>
      </c>
      <c r="F27" s="15" t="s">
        <v>311</v>
      </c>
      <c r="G27" s="121">
        <v>0.65</v>
      </c>
      <c r="H27" s="122">
        <f t="shared" si="15"/>
        <v>0.35</v>
      </c>
      <c r="J27" s="97"/>
      <c r="K27" s="115"/>
      <c r="L27" s="115"/>
      <c r="N27" s="15"/>
      <c r="O27" s="101"/>
      <c r="P27" s="101"/>
    </row>
    <row r="28" spans="1:24" x14ac:dyDescent="0.3">
      <c r="A28" s="97" t="s">
        <v>286</v>
      </c>
      <c r="B28" s="408" t="s">
        <v>254</v>
      </c>
      <c r="F28" s="15" t="s">
        <v>311</v>
      </c>
      <c r="G28" s="121">
        <v>0.5</v>
      </c>
      <c r="H28" s="122">
        <f t="shared" si="15"/>
        <v>0.5</v>
      </c>
      <c r="J28" s="97"/>
      <c r="K28" s="7"/>
      <c r="N28" s="15"/>
      <c r="O28" s="101"/>
    </row>
    <row r="29" spans="1:24" ht="15" customHeight="1" x14ac:dyDescent="0.3">
      <c r="A29" s="97" t="s">
        <v>287</v>
      </c>
      <c r="B29" s="408" t="s">
        <v>255</v>
      </c>
      <c r="F29" s="15" t="s">
        <v>311</v>
      </c>
      <c r="G29" s="121">
        <v>0.85</v>
      </c>
      <c r="H29" s="122">
        <f t="shared" si="15"/>
        <v>0.15000000000000002</v>
      </c>
      <c r="J29" s="97"/>
      <c r="K29" s="7"/>
      <c r="N29" s="15"/>
      <c r="O29" s="101"/>
    </row>
    <row r="30" spans="1:24" x14ac:dyDescent="0.3">
      <c r="A30" s="97" t="s">
        <v>288</v>
      </c>
      <c r="B30" s="408" t="s">
        <v>256</v>
      </c>
      <c r="F30" s="15" t="s">
        <v>311</v>
      </c>
      <c r="G30" s="121">
        <v>0.9</v>
      </c>
      <c r="H30" s="122">
        <f t="shared" si="15"/>
        <v>9.9999999999999978E-2</v>
      </c>
      <c r="J30" s="97"/>
      <c r="K30" s="7"/>
      <c r="N30" s="15"/>
      <c r="O30" s="101"/>
    </row>
    <row r="31" spans="1:24" ht="15" customHeight="1" x14ac:dyDescent="0.3">
      <c r="A31" s="97" t="s">
        <v>289</v>
      </c>
      <c r="B31" s="408" t="s">
        <v>257</v>
      </c>
      <c r="F31" s="15" t="s">
        <v>311</v>
      </c>
      <c r="G31" s="121">
        <v>0.8</v>
      </c>
      <c r="H31" s="122">
        <f t="shared" si="15"/>
        <v>0.19999999999999996</v>
      </c>
      <c r="J31" s="108" t="s">
        <v>119</v>
      </c>
      <c r="N31" s="15"/>
      <c r="O31" s="101"/>
    </row>
    <row r="32" spans="1:24" x14ac:dyDescent="0.3">
      <c r="A32" s="97" t="s">
        <v>290</v>
      </c>
      <c r="B32" s="408" t="s">
        <v>265</v>
      </c>
      <c r="F32" s="15" t="s">
        <v>312</v>
      </c>
      <c r="G32" s="121">
        <v>0</v>
      </c>
      <c r="H32" s="122">
        <f t="shared" si="15"/>
        <v>1</v>
      </c>
      <c r="N32" s="15"/>
      <c r="O32" s="101"/>
    </row>
    <row r="33" spans="1:15" ht="15" customHeight="1" x14ac:dyDescent="0.3">
      <c r="A33" s="97" t="s">
        <v>303</v>
      </c>
      <c r="B33" s="408" t="s">
        <v>355</v>
      </c>
      <c r="F33" s="15" t="s">
        <v>312</v>
      </c>
      <c r="G33" s="122">
        <v>0.25</v>
      </c>
      <c r="H33" s="122">
        <f t="shared" ref="H33" si="16">1-G33</f>
        <v>0.75</v>
      </c>
      <c r="J33" s="102" t="s">
        <v>363</v>
      </c>
      <c r="K33" s="103"/>
      <c r="L33" s="103"/>
      <c r="M33" s="103"/>
      <c r="N33" s="105" t="s">
        <v>319</v>
      </c>
      <c r="O33" s="104" t="s">
        <v>118</v>
      </c>
    </row>
    <row r="34" spans="1:15" x14ac:dyDescent="0.3">
      <c r="A34" s="97" t="s">
        <v>304</v>
      </c>
      <c r="B34" s="408" t="s">
        <v>354</v>
      </c>
      <c r="F34" s="15" t="s">
        <v>312</v>
      </c>
      <c r="G34" s="122">
        <v>0.3</v>
      </c>
      <c r="H34" s="122">
        <f t="shared" si="15"/>
        <v>0.7</v>
      </c>
      <c r="J34" s="97" t="s">
        <v>298</v>
      </c>
      <c r="K34" s="7" t="s">
        <v>258</v>
      </c>
      <c r="N34" s="98">
        <v>0</v>
      </c>
      <c r="O34" s="101">
        <f t="shared" ref="O34:O38" si="17">1-N34</f>
        <v>1</v>
      </c>
    </row>
    <row r="35" spans="1:15" ht="15" customHeight="1" x14ac:dyDescent="0.3">
      <c r="A35" s="97" t="s">
        <v>291</v>
      </c>
      <c r="B35" s="408" t="s">
        <v>267</v>
      </c>
      <c r="F35" s="15" t="s">
        <v>312</v>
      </c>
      <c r="G35" s="122">
        <v>0.77499999999999991</v>
      </c>
      <c r="H35" s="122">
        <f t="shared" si="15"/>
        <v>0.22500000000000009</v>
      </c>
      <c r="J35" s="97" t="s">
        <v>299</v>
      </c>
      <c r="K35" s="7" t="s">
        <v>259</v>
      </c>
      <c r="N35" s="98">
        <v>0.9</v>
      </c>
      <c r="O35" s="101">
        <f t="shared" si="17"/>
        <v>9.9999999999999978E-2</v>
      </c>
    </row>
    <row r="36" spans="1:15" ht="15" customHeight="1" x14ac:dyDescent="0.3">
      <c r="A36" s="97" t="s">
        <v>292</v>
      </c>
      <c r="B36" s="408" t="s">
        <v>266</v>
      </c>
      <c r="F36" s="15" t="s">
        <v>312</v>
      </c>
      <c r="G36" s="122">
        <v>0.875</v>
      </c>
      <c r="H36" s="122">
        <f t="shared" si="15"/>
        <v>0.125</v>
      </c>
      <c r="J36" s="97" t="s">
        <v>300</v>
      </c>
      <c r="K36" s="7" t="s">
        <v>260</v>
      </c>
      <c r="N36" s="98">
        <v>0.7</v>
      </c>
      <c r="O36" s="101">
        <f t="shared" si="17"/>
        <v>0.30000000000000004</v>
      </c>
    </row>
    <row r="37" spans="1:15" ht="15" customHeight="1" x14ac:dyDescent="0.3">
      <c r="A37" s="97" t="s">
        <v>293</v>
      </c>
      <c r="B37" s="408" t="s">
        <v>268</v>
      </c>
      <c r="F37" s="15" t="s">
        <v>312</v>
      </c>
      <c r="G37" s="122">
        <v>0.75</v>
      </c>
      <c r="H37" s="122">
        <f t="shared" si="15"/>
        <v>0.25</v>
      </c>
      <c r="J37" s="97" t="s">
        <v>301</v>
      </c>
      <c r="K37" s="7" t="s">
        <v>261</v>
      </c>
      <c r="N37" s="98">
        <v>0.55000000000000004</v>
      </c>
      <c r="O37" s="101">
        <f t="shared" si="17"/>
        <v>0.44999999999999996</v>
      </c>
    </row>
    <row r="38" spans="1:15" x14ac:dyDescent="0.3">
      <c r="A38" s="97" t="s">
        <v>294</v>
      </c>
      <c r="B38" s="408" t="s">
        <v>269</v>
      </c>
      <c r="F38" s="15" t="s">
        <v>312</v>
      </c>
      <c r="G38" s="122">
        <v>0.5</v>
      </c>
      <c r="H38" s="122">
        <f t="shared" si="15"/>
        <v>0.5</v>
      </c>
      <c r="J38" s="97" t="s">
        <v>302</v>
      </c>
      <c r="K38" s="7" t="s">
        <v>262</v>
      </c>
      <c r="N38" s="98">
        <v>0.2</v>
      </c>
      <c r="O38" s="101">
        <f t="shared" si="17"/>
        <v>0.8</v>
      </c>
    </row>
    <row r="39" spans="1:15" ht="15" customHeight="1" x14ac:dyDescent="0.3">
      <c r="A39" s="97" t="s">
        <v>295</v>
      </c>
      <c r="B39" s="409" t="s">
        <v>308</v>
      </c>
      <c r="F39" s="15" t="s">
        <v>312</v>
      </c>
      <c r="G39" s="122">
        <v>0.8</v>
      </c>
      <c r="H39" s="122">
        <f t="shared" ref="H39" si="18">1-G39</f>
        <v>0.19999999999999996</v>
      </c>
      <c r="J39" s="97"/>
      <c r="K39" s="7"/>
      <c r="N39" s="245"/>
      <c r="O39" s="246"/>
    </row>
    <row r="40" spans="1:15" ht="15" customHeight="1" x14ac:dyDescent="0.3">
      <c r="A40" s="97" t="s">
        <v>305</v>
      </c>
      <c r="B40" s="409" t="s">
        <v>306</v>
      </c>
      <c r="F40" s="15" t="s">
        <v>312</v>
      </c>
      <c r="G40" s="122">
        <v>0.32</v>
      </c>
      <c r="H40" s="122">
        <f t="shared" si="15"/>
        <v>0.67999999999999994</v>
      </c>
    </row>
    <row r="42" spans="1:15" x14ac:dyDescent="0.3">
      <c r="B42" s="150"/>
      <c r="H42" s="149"/>
      <c r="J42" s="448" t="s">
        <v>343</v>
      </c>
      <c r="K42" s="448"/>
      <c r="L42" s="448"/>
    </row>
    <row r="43" spans="1:15" x14ac:dyDescent="0.3">
      <c r="B43" s="466"/>
      <c r="H43" s="149"/>
      <c r="J43" s="449" t="s">
        <v>246</v>
      </c>
      <c r="K43" s="450" t="s">
        <v>344</v>
      </c>
    </row>
    <row r="44" spans="1:15" x14ac:dyDescent="0.3">
      <c r="H44" s="149"/>
      <c r="J44" s="449"/>
      <c r="K44" s="450" t="s">
        <v>339</v>
      </c>
    </row>
    <row r="45" spans="1:15" x14ac:dyDescent="0.3">
      <c r="H45" s="149"/>
      <c r="J45" t="s">
        <v>345</v>
      </c>
      <c r="K45" s="450" t="s">
        <v>338</v>
      </c>
    </row>
    <row r="46" spans="1:15" x14ac:dyDescent="0.3">
      <c r="B46" s="465"/>
      <c r="H46" s="149"/>
      <c r="J46" t="s">
        <v>346</v>
      </c>
      <c r="K46" s="450" t="s">
        <v>342</v>
      </c>
    </row>
    <row r="47" spans="1:15" x14ac:dyDescent="0.3">
      <c r="B47" s="466"/>
      <c r="H47" s="7"/>
      <c r="J47" t="s">
        <v>347</v>
      </c>
      <c r="K47" s="450" t="s">
        <v>341</v>
      </c>
    </row>
    <row r="48" spans="1:15" x14ac:dyDescent="0.3">
      <c r="B48" s="466"/>
      <c r="H48" s="7"/>
      <c r="J48" t="s">
        <v>348</v>
      </c>
      <c r="K48" s="450" t="s">
        <v>337</v>
      </c>
    </row>
    <row r="49" spans="8:13" x14ac:dyDescent="0.3">
      <c r="H49" s="7"/>
      <c r="K49" s="450" t="s">
        <v>340</v>
      </c>
      <c r="M49" s="451" t="s">
        <v>349</v>
      </c>
    </row>
    <row r="50" spans="8:13" x14ac:dyDescent="0.3">
      <c r="H50" s="149"/>
    </row>
    <row r="51" spans="8:13" x14ac:dyDescent="0.3">
      <c r="H51" s="149"/>
    </row>
    <row r="52" spans="8:13" x14ac:dyDescent="0.3">
      <c r="H52" s="149"/>
    </row>
  </sheetData>
  <sheetProtection sheet="1" objects="1" scenarios="1" formatCells="0" formatColumns="0" formatRows="0"/>
  <mergeCells count="9">
    <mergeCell ref="W1:X1"/>
    <mergeCell ref="B1:B2"/>
    <mergeCell ref="A1:A2"/>
    <mergeCell ref="O1:Q1"/>
    <mergeCell ref="C1:E1"/>
    <mergeCell ref="S1:U1"/>
    <mergeCell ref="F1:H1"/>
    <mergeCell ref="I1:K1"/>
    <mergeCell ref="L1:N1"/>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Y33"/>
  <sheetViews>
    <sheetView zoomScale="85" zoomScaleNormal="85" workbookViewId="0">
      <pane xSplit="2" topLeftCell="C1" activePane="topRight" state="frozen"/>
      <selection sqref="A1:XFD1048576"/>
      <selection pane="topRight" activeCell="B22" sqref="B22"/>
    </sheetView>
  </sheetViews>
  <sheetFormatPr defaultColWidth="11.5546875" defaultRowHeight="14.4" x14ac:dyDescent="0.3"/>
  <cols>
    <col min="1" max="1" width="13" customWidth="1"/>
    <col min="2" max="2" width="37.88671875" customWidth="1"/>
    <col min="3" max="3" width="12.6640625" bestFit="1" customWidth="1"/>
    <col min="4" max="4" width="14.44140625" customWidth="1"/>
    <col min="5" max="5" width="8" bestFit="1" customWidth="1"/>
    <col min="6" max="6" width="11.88671875" bestFit="1" customWidth="1"/>
    <col min="7" max="7" width="8" bestFit="1" customWidth="1"/>
    <col min="8" max="8" width="13" bestFit="1" customWidth="1"/>
    <col min="9" max="9" width="13.44140625" bestFit="1" customWidth="1"/>
    <col min="10" max="10" width="9.109375" bestFit="1" customWidth="1"/>
    <col min="11" max="11" width="24.5546875" bestFit="1" customWidth="1"/>
    <col min="12" max="12" width="23.6640625" bestFit="1" customWidth="1"/>
    <col min="13" max="13" width="21.88671875" bestFit="1" customWidth="1"/>
    <col min="14" max="14" width="6.44140625" bestFit="1" customWidth="1"/>
    <col min="15" max="15" width="18.5546875" bestFit="1" customWidth="1"/>
    <col min="16" max="16" width="17.6640625" bestFit="1" customWidth="1"/>
    <col min="17" max="17" width="15.88671875" customWidth="1"/>
    <col min="18" max="18" width="6.44140625" bestFit="1" customWidth="1"/>
    <col min="19" max="19" width="22.6640625" bestFit="1" customWidth="1"/>
    <col min="20" max="20" width="20.6640625" bestFit="1" customWidth="1"/>
    <col min="21" max="21" width="3.44140625" customWidth="1"/>
    <col min="22" max="22" width="18.5546875" customWidth="1"/>
    <col min="23" max="23" width="3.33203125" customWidth="1"/>
    <col min="24" max="24" width="18" customWidth="1"/>
  </cols>
  <sheetData>
    <row r="1" spans="1:21" ht="15.75" customHeight="1" x14ac:dyDescent="0.3">
      <c r="A1" s="573" t="s">
        <v>29</v>
      </c>
      <c r="B1" s="576" t="s">
        <v>6</v>
      </c>
      <c r="C1" s="579" t="s">
        <v>25</v>
      </c>
      <c r="D1" s="111" t="s">
        <v>120</v>
      </c>
      <c r="E1" s="570" t="s">
        <v>109</v>
      </c>
      <c r="F1" s="571"/>
      <c r="G1" s="581"/>
      <c r="H1" s="570" t="s">
        <v>108</v>
      </c>
      <c r="I1" s="571"/>
      <c r="J1" s="568" t="s">
        <v>110</v>
      </c>
      <c r="K1" s="541" t="s">
        <v>42</v>
      </c>
      <c r="L1" s="541"/>
      <c r="M1" s="541"/>
      <c r="N1" s="91"/>
      <c r="O1" s="543" t="s">
        <v>130</v>
      </c>
      <c r="P1" s="541"/>
      <c r="Q1" s="541"/>
      <c r="R1" s="542"/>
      <c r="S1" s="544" t="s">
        <v>111</v>
      </c>
      <c r="T1" s="545"/>
      <c r="U1" s="114"/>
    </row>
    <row r="2" spans="1:21" ht="15" customHeight="1" x14ac:dyDescent="0.3">
      <c r="A2" s="574"/>
      <c r="B2" s="577"/>
      <c r="C2" s="580"/>
      <c r="D2" s="112" t="s">
        <v>3</v>
      </c>
      <c r="E2" s="549" t="s">
        <v>10</v>
      </c>
      <c r="F2" s="546" t="s">
        <v>8</v>
      </c>
      <c r="G2" s="582" t="s">
        <v>9</v>
      </c>
      <c r="H2" s="549" t="s">
        <v>32</v>
      </c>
      <c r="I2" s="546" t="s">
        <v>33</v>
      </c>
      <c r="J2" s="569"/>
      <c r="K2" s="24" t="s">
        <v>44</v>
      </c>
      <c r="L2" s="24" t="s">
        <v>41</v>
      </c>
      <c r="M2" s="24" t="s">
        <v>67</v>
      </c>
      <c r="N2" s="566" t="s">
        <v>2</v>
      </c>
      <c r="O2" s="23" t="s">
        <v>70</v>
      </c>
      <c r="P2" s="24" t="s">
        <v>71</v>
      </c>
      <c r="Q2" s="24" t="s">
        <v>72</v>
      </c>
      <c r="R2" s="566" t="s">
        <v>2</v>
      </c>
      <c r="S2" s="23" t="s">
        <v>60</v>
      </c>
      <c r="T2" s="25" t="s">
        <v>112</v>
      </c>
      <c r="U2" s="24"/>
    </row>
    <row r="3" spans="1:21" ht="15" customHeight="1" x14ac:dyDescent="0.3">
      <c r="A3" s="575"/>
      <c r="B3" s="578"/>
      <c r="C3" s="65" t="s">
        <v>165</v>
      </c>
      <c r="D3" s="26" t="s">
        <v>4</v>
      </c>
      <c r="E3" s="572"/>
      <c r="F3" s="547"/>
      <c r="G3" s="583"/>
      <c r="H3" s="572"/>
      <c r="I3" s="547"/>
      <c r="J3" s="26" t="s">
        <v>38</v>
      </c>
      <c r="K3" s="62"/>
      <c r="L3" s="62"/>
      <c r="M3" s="62"/>
      <c r="N3" s="567"/>
      <c r="O3" s="21"/>
      <c r="P3" s="62"/>
      <c r="Q3" s="62"/>
      <c r="R3" s="567"/>
      <c r="S3" s="21"/>
      <c r="T3" s="4"/>
      <c r="U3" s="61"/>
    </row>
    <row r="4" spans="1:21" x14ac:dyDescent="0.3">
      <c r="A4" s="109" t="s">
        <v>360</v>
      </c>
      <c r="B4" s="36" t="s">
        <v>173</v>
      </c>
      <c r="C4" s="158">
        <f>Càlculs!I4</f>
        <v>0.8032258064516129</v>
      </c>
      <c r="D4" s="285" t="s">
        <v>212</v>
      </c>
      <c r="E4" s="94">
        <v>0</v>
      </c>
      <c r="F4" s="92">
        <v>0</v>
      </c>
      <c r="G4" s="93">
        <f>1-E4-F4</f>
        <v>1</v>
      </c>
      <c r="H4" s="129">
        <v>1</v>
      </c>
      <c r="I4" s="93">
        <f t="shared" ref="I4:I15" si="0">1-H4</f>
        <v>0</v>
      </c>
      <c r="J4" s="145">
        <f>IF(Dades!I8=0,0,(Dades!I8/Dades!I8)*$J$28)</f>
        <v>0</v>
      </c>
      <c r="K4" s="106">
        <f>IF(Dades!$K8=$L$21,1,0)</f>
        <v>1</v>
      </c>
      <c r="L4" s="106">
        <f>IF(Dades!$K8=$L$23,1,0)</f>
        <v>0</v>
      </c>
      <c r="M4" s="106">
        <f>IF(Dades!$K8=$L$22,1,0)</f>
        <v>0</v>
      </c>
      <c r="N4" s="66">
        <f>SUM(K4:M4)</f>
        <v>1</v>
      </c>
      <c r="O4" s="92">
        <f>IF(Dades!$M8=$L$21,1,0)</f>
        <v>0</v>
      </c>
      <c r="P4" s="92">
        <f>IF(Dades!$M8=$L$23,1,0)</f>
        <v>0</v>
      </c>
      <c r="Q4" s="92">
        <f>IF(Dades!$M8=$L$22,1,0)</f>
        <v>0</v>
      </c>
      <c r="R4" s="66">
        <f>SUM(O4:Q4)</f>
        <v>0</v>
      </c>
      <c r="S4" s="106">
        <f>IF(Dades!$Q8=$L$23,1,0)</f>
        <v>1</v>
      </c>
      <c r="T4" s="106">
        <f>IF(Dades!$Q8=$L$22,1,0)</f>
        <v>0</v>
      </c>
      <c r="U4" s="6"/>
    </row>
    <row r="5" spans="1:21" x14ac:dyDescent="0.3">
      <c r="A5" s="153" t="s">
        <v>360</v>
      </c>
      <c r="B5" s="134" t="s">
        <v>176</v>
      </c>
      <c r="C5" s="47">
        <f>Càlculs!I5</f>
        <v>0.77067082683307331</v>
      </c>
      <c r="D5" s="285" t="s">
        <v>212</v>
      </c>
      <c r="E5" s="94">
        <v>0</v>
      </c>
      <c r="F5" s="92">
        <v>0</v>
      </c>
      <c r="G5" s="93">
        <f>1-E5-F5</f>
        <v>1</v>
      </c>
      <c r="H5" s="94">
        <v>1</v>
      </c>
      <c r="I5" s="93">
        <v>0</v>
      </c>
      <c r="J5" s="145">
        <f>IF(Dades!I10=0,0,(Dades!I10/Dades!I10)*$J$28)</f>
        <v>0</v>
      </c>
      <c r="K5" s="106">
        <f>IF(Dades!$K10=$L$21,1,0)</f>
        <v>1</v>
      </c>
      <c r="L5" s="106">
        <f>IF(Dades!$K10=$L$23,1,0)</f>
        <v>0</v>
      </c>
      <c r="M5" s="106">
        <f>IF(Dades!$K10=$L$22,1,0)</f>
        <v>0</v>
      </c>
      <c r="N5" s="66">
        <f t="shared" ref="N5:N14" si="1">SUM(K5:M5)</f>
        <v>1</v>
      </c>
      <c r="O5" s="92">
        <f>IF(Dades!$M10=$L$21,1,0)</f>
        <v>0</v>
      </c>
      <c r="P5" s="92">
        <f>IF(Dades!$M10=$L$23,1,0)</f>
        <v>0</v>
      </c>
      <c r="Q5" s="92">
        <f>IF(Dades!$M10=$L$22,1,0)</f>
        <v>0</v>
      </c>
      <c r="R5" s="66">
        <f t="shared" ref="R5:R14" si="2">SUM(O5:Q5)</f>
        <v>0</v>
      </c>
      <c r="S5" s="106">
        <f>IF(Dades!$Q10=$L$23,1,0)</f>
        <v>1</v>
      </c>
      <c r="T5" s="106">
        <f>IF(Dades!$Q10=$L$22,1,0)</f>
        <v>0</v>
      </c>
      <c r="U5" s="6"/>
    </row>
    <row r="6" spans="1:21" x14ac:dyDescent="0.3">
      <c r="A6" s="153" t="s">
        <v>360</v>
      </c>
      <c r="B6" s="134" t="s">
        <v>174</v>
      </c>
      <c r="C6" s="47">
        <f>Càlculs!I6</f>
        <v>0.8063583815028903</v>
      </c>
      <c r="D6" s="285" t="s">
        <v>212</v>
      </c>
      <c r="E6" s="94">
        <v>0</v>
      </c>
      <c r="F6" s="92">
        <v>0</v>
      </c>
      <c r="G6" s="93">
        <f t="shared" ref="G6:G13" si="3">1-E6-F6</f>
        <v>1</v>
      </c>
      <c r="H6" s="94">
        <v>1</v>
      </c>
      <c r="I6" s="93">
        <v>0</v>
      </c>
      <c r="J6" s="145">
        <f>IF(Dades!I12=0,0,(Dades!I12/Dades!I12)*$J$28)</f>
        <v>0</v>
      </c>
      <c r="K6" s="106">
        <f>IF(Dades!$K12=$L$21,1,0)</f>
        <v>1</v>
      </c>
      <c r="L6" s="106">
        <f>IF(Dades!$K12=$L$23,1,0)</f>
        <v>0</v>
      </c>
      <c r="M6" s="106">
        <f>IF(Dades!$K12=$L$22,1,0)</f>
        <v>0</v>
      </c>
      <c r="N6" s="66">
        <f t="shared" si="1"/>
        <v>1</v>
      </c>
      <c r="O6" s="92">
        <f>IF(Dades!$M12=$L$21,1,0)</f>
        <v>0</v>
      </c>
      <c r="P6" s="92">
        <f>IF(Dades!$M12=$L$23,1,0)</f>
        <v>0</v>
      </c>
      <c r="Q6" s="92">
        <f>IF(Dades!$M12=$L$22,1,0)</f>
        <v>0</v>
      </c>
      <c r="R6" s="66">
        <f t="shared" si="2"/>
        <v>0</v>
      </c>
      <c r="S6" s="106">
        <f>IF(Dades!$Q12=$L$23,1,0)</f>
        <v>1</v>
      </c>
      <c r="T6" s="106">
        <f>IF(Dades!$Q12=$L$22,1,0)</f>
        <v>0</v>
      </c>
      <c r="U6" s="6"/>
    </row>
    <row r="7" spans="1:21" x14ac:dyDescent="0.3">
      <c r="A7" s="153" t="s">
        <v>360</v>
      </c>
      <c r="B7" s="134" t="s">
        <v>177</v>
      </c>
      <c r="C7" s="47">
        <f>Càlculs!I7</f>
        <v>0.76982892690513216</v>
      </c>
      <c r="D7" s="285" t="s">
        <v>212</v>
      </c>
      <c r="E7" s="94">
        <v>0</v>
      </c>
      <c r="F7" s="92">
        <v>0</v>
      </c>
      <c r="G7" s="93">
        <f t="shared" si="3"/>
        <v>1</v>
      </c>
      <c r="H7" s="94">
        <v>1</v>
      </c>
      <c r="I7" s="93">
        <v>0</v>
      </c>
      <c r="J7" s="145">
        <f>IF(Dades!I14=0,0,(Dades!I14/Dades!I14)*$J$28)</f>
        <v>0</v>
      </c>
      <c r="K7" s="106">
        <f>IF(Dades!$K14=$L$21,1,0)</f>
        <v>1</v>
      </c>
      <c r="L7" s="106">
        <f>IF(Dades!$K14=$L$23,1,0)</f>
        <v>0</v>
      </c>
      <c r="M7" s="106">
        <f>IF(Dades!$K14=$L$22,1,0)</f>
        <v>0</v>
      </c>
      <c r="N7" s="66">
        <f t="shared" si="1"/>
        <v>1</v>
      </c>
      <c r="O7" s="92">
        <f>IF(Dades!$M14=$L$21,1,0)</f>
        <v>0</v>
      </c>
      <c r="P7" s="92">
        <f>IF(Dades!$M14=$L$23,1,0)</f>
        <v>0</v>
      </c>
      <c r="Q7" s="92">
        <f>IF(Dades!$M14=$L$22,1,0)</f>
        <v>0</v>
      </c>
      <c r="R7" s="66">
        <f t="shared" si="2"/>
        <v>0</v>
      </c>
      <c r="S7" s="106">
        <f>IF(Dades!$Q14=$L$23,1,0)</f>
        <v>1</v>
      </c>
      <c r="T7" s="106">
        <f>IF(Dades!$Q14=$L$22,1,0)</f>
        <v>0</v>
      </c>
      <c r="U7" s="6"/>
    </row>
    <row r="8" spans="1:21" x14ac:dyDescent="0.3">
      <c r="A8" s="153" t="s">
        <v>360</v>
      </c>
      <c r="B8" s="134" t="s">
        <v>175</v>
      </c>
      <c r="C8" s="47">
        <f>Càlculs!I8</f>
        <v>0.8063583815028903</v>
      </c>
      <c r="D8" s="285" t="s">
        <v>212</v>
      </c>
      <c r="E8" s="94">
        <v>0</v>
      </c>
      <c r="F8" s="92">
        <v>0.33329999999999999</v>
      </c>
      <c r="G8" s="93">
        <f t="shared" si="3"/>
        <v>0.66670000000000007</v>
      </c>
      <c r="H8" s="94">
        <v>1</v>
      </c>
      <c r="I8" s="93">
        <v>0</v>
      </c>
      <c r="J8" s="145">
        <f>IF(Dades!I16=0,0,(Dades!I16/Dades!I16)*$J$28)</f>
        <v>0</v>
      </c>
      <c r="K8" s="106">
        <f>IF(Dades!$K16=$L$21,1,0)</f>
        <v>1</v>
      </c>
      <c r="L8" s="106">
        <f>IF(Dades!$K16=$L$23,1,0)</f>
        <v>0</v>
      </c>
      <c r="M8" s="106">
        <f>IF(Dades!$K16=$L$22,1,0)</f>
        <v>0</v>
      </c>
      <c r="N8" s="66">
        <f t="shared" si="1"/>
        <v>1</v>
      </c>
      <c r="O8" s="106">
        <f>IF(Dades!$M16=$L$21,1,0)</f>
        <v>1</v>
      </c>
      <c r="P8" s="106">
        <f>IF(Dades!$M16=$L$23,1,0)</f>
        <v>0</v>
      </c>
      <c r="Q8" s="106">
        <f>IF(Dades!$M16=$L$22,1,0)</f>
        <v>0</v>
      </c>
      <c r="R8" s="66">
        <f t="shared" si="2"/>
        <v>1</v>
      </c>
      <c r="S8" s="106">
        <f>IF(Dades!$Q16=$L$23,1,0)</f>
        <v>1</v>
      </c>
      <c r="T8" s="106">
        <f>IF(Dades!$Q16=$L$22,1,0)</f>
        <v>0</v>
      </c>
      <c r="U8" s="6"/>
    </row>
    <row r="9" spans="1:21" x14ac:dyDescent="0.3">
      <c r="A9" s="153" t="s">
        <v>360</v>
      </c>
      <c r="B9" s="134" t="s">
        <v>178</v>
      </c>
      <c r="C9" s="47">
        <f>Càlculs!I9</f>
        <v>0.76982892690513216</v>
      </c>
      <c r="D9" s="285" t="s">
        <v>212</v>
      </c>
      <c r="E9" s="94">
        <v>0</v>
      </c>
      <c r="F9" s="92">
        <v>0.33329999999999999</v>
      </c>
      <c r="G9" s="93">
        <f t="shared" si="3"/>
        <v>0.66670000000000007</v>
      </c>
      <c r="H9" s="94">
        <v>1</v>
      </c>
      <c r="I9" s="93">
        <v>0</v>
      </c>
      <c r="J9" s="145">
        <f>IF(Dades!I18=0,0,(Dades!I18/Dades!I18)*$J$28)</f>
        <v>0</v>
      </c>
      <c r="K9" s="106">
        <f>IF(Dades!$K18=$L$21,1,0)</f>
        <v>1</v>
      </c>
      <c r="L9" s="106">
        <f>IF(Dades!$K18=$L$23,1,0)</f>
        <v>0</v>
      </c>
      <c r="M9" s="106">
        <f>IF(Dades!$K18=$L$22,1,0)</f>
        <v>0</v>
      </c>
      <c r="N9" s="66">
        <f t="shared" si="1"/>
        <v>1</v>
      </c>
      <c r="O9" s="106">
        <f>IF(Dades!$M18=$L$21,1,0)</f>
        <v>1</v>
      </c>
      <c r="P9" s="106">
        <f>IF(Dades!$M18=$L$23,1,0)</f>
        <v>0</v>
      </c>
      <c r="Q9" s="106">
        <f>IF(Dades!$M18=$L$22,1,0)</f>
        <v>0</v>
      </c>
      <c r="R9" s="66">
        <f t="shared" si="2"/>
        <v>1</v>
      </c>
      <c r="S9" s="106">
        <f>IF(Dades!$Q18=$L$23,1,0)</f>
        <v>1</v>
      </c>
      <c r="T9" s="106">
        <f>IF(Dades!$Q18=$L$22,1,0)</f>
        <v>0</v>
      </c>
      <c r="U9" s="6"/>
    </row>
    <row r="10" spans="1:21" x14ac:dyDescent="0.3">
      <c r="A10" s="202" t="s">
        <v>361</v>
      </c>
      <c r="B10" s="201" t="s">
        <v>179</v>
      </c>
      <c r="C10" s="47">
        <f>Càlculs!I10</f>
        <v>0.74848484848484864</v>
      </c>
      <c r="D10" s="285" t="s">
        <v>212</v>
      </c>
      <c r="E10" s="94">
        <v>0</v>
      </c>
      <c r="F10" s="92">
        <v>0</v>
      </c>
      <c r="G10" s="93">
        <f t="shared" si="3"/>
        <v>1</v>
      </c>
      <c r="H10" s="94">
        <v>1</v>
      </c>
      <c r="I10" s="93">
        <v>0</v>
      </c>
      <c r="J10" s="145">
        <f>IF(Dades!I24=0,0,(Dades!I24/Càlculs!E10)*$J$28)</f>
        <v>0</v>
      </c>
      <c r="K10" s="106">
        <f>IF(Dades!$K24=$L$21,1,0)</f>
        <v>1</v>
      </c>
      <c r="L10" s="106">
        <f>IF(Dades!$K24=$L$23,1,0)</f>
        <v>0</v>
      </c>
      <c r="M10" s="106">
        <f>IF(Dades!$K24=$L$22,1,0)</f>
        <v>0</v>
      </c>
      <c r="N10" s="66">
        <f t="shared" si="1"/>
        <v>1</v>
      </c>
      <c r="O10" s="92">
        <f>IF(Dades!$M24=$L$21,1,0)</f>
        <v>0</v>
      </c>
      <c r="P10" s="92">
        <f>IF(Dades!$M24=$L$23,1,0)</f>
        <v>0</v>
      </c>
      <c r="Q10" s="92">
        <f>IF(Dades!$M24=$L$22,1,0)</f>
        <v>0</v>
      </c>
      <c r="R10" s="66">
        <f t="shared" si="2"/>
        <v>0</v>
      </c>
      <c r="S10" s="106">
        <f>IF(Dades!$Q24=$L$23,1,0)</f>
        <v>1</v>
      </c>
      <c r="T10" s="106">
        <f>IF(Dades!$Q24=$L$22,1,0)</f>
        <v>0</v>
      </c>
      <c r="U10" s="6"/>
    </row>
    <row r="11" spans="1:21" x14ac:dyDescent="0.3">
      <c r="A11" s="202" t="s">
        <v>361</v>
      </c>
      <c r="B11" s="201" t="s">
        <v>180</v>
      </c>
      <c r="C11" s="47">
        <f>Càlculs!I11</f>
        <v>0.78894472361809043</v>
      </c>
      <c r="D11" s="285" t="s">
        <v>212</v>
      </c>
      <c r="E11" s="94">
        <v>0</v>
      </c>
      <c r="F11" s="92">
        <v>0</v>
      </c>
      <c r="G11" s="93">
        <f t="shared" si="3"/>
        <v>1</v>
      </c>
      <c r="H11" s="94">
        <v>1</v>
      </c>
      <c r="I11" s="93">
        <v>0</v>
      </c>
      <c r="J11" s="145">
        <f>IF(Dades!I26=0,0,(Dades!I26/Càlculs!E11)*$J$28)</f>
        <v>0</v>
      </c>
      <c r="K11" s="106">
        <f>IF(Dades!$K26=$L$21,1,0)</f>
        <v>1</v>
      </c>
      <c r="L11" s="106">
        <f>IF(Dades!$K26=$L$23,1,0)</f>
        <v>0</v>
      </c>
      <c r="M11" s="106">
        <f>IF(Dades!$K26=$L$22,1,0)</f>
        <v>0</v>
      </c>
      <c r="N11" s="66">
        <f t="shared" si="1"/>
        <v>1</v>
      </c>
      <c r="O11" s="92">
        <f>IF(Dades!$M26=$L$21,1,0)</f>
        <v>0</v>
      </c>
      <c r="P11" s="92">
        <f>IF(Dades!$M26=$L$23,1,0)</f>
        <v>0</v>
      </c>
      <c r="Q11" s="92">
        <f>IF(Dades!$M26=$L$22,1,0)</f>
        <v>0</v>
      </c>
      <c r="R11" s="66">
        <f t="shared" si="2"/>
        <v>0</v>
      </c>
      <c r="S11" s="106">
        <f>IF(Dades!$Q26=$L$23,1,0)</f>
        <v>1</v>
      </c>
      <c r="T11" s="106">
        <f>IF(Dades!$Q26=$L$22,1,0)</f>
        <v>0</v>
      </c>
      <c r="U11" s="6"/>
    </row>
    <row r="12" spans="1:21" x14ac:dyDescent="0.3">
      <c r="A12" s="202" t="s">
        <v>361</v>
      </c>
      <c r="B12" s="201" t="s">
        <v>181</v>
      </c>
      <c r="C12" s="47">
        <f>Càlculs!I12</f>
        <v>0.80022075055187636</v>
      </c>
      <c r="D12" s="285" t="s">
        <v>212</v>
      </c>
      <c r="E12" s="94">
        <v>0</v>
      </c>
      <c r="F12" s="92">
        <v>0</v>
      </c>
      <c r="G12" s="93">
        <f t="shared" si="3"/>
        <v>1</v>
      </c>
      <c r="H12" s="94">
        <v>1</v>
      </c>
      <c r="I12" s="93">
        <v>0</v>
      </c>
      <c r="J12" s="145">
        <f>IF(Dades!I28=0,0,(Dades!I28/Càlculs!E12)*$J$28)</f>
        <v>0</v>
      </c>
      <c r="K12" s="106">
        <f>IF(Dades!$K28=$L$21,1,0)</f>
        <v>1</v>
      </c>
      <c r="L12" s="106">
        <f>IF(Dades!$K28=$L$23,1,0)</f>
        <v>0</v>
      </c>
      <c r="M12" s="106">
        <f>IF(Dades!$K28=$L$22,1,0)</f>
        <v>0</v>
      </c>
      <c r="N12" s="66">
        <f>SUM(K12:M12)</f>
        <v>1</v>
      </c>
      <c r="O12" s="92">
        <f>IF(Dades!$M28=$L$21,1,0)</f>
        <v>0</v>
      </c>
      <c r="P12" s="92">
        <f>IF(Dades!$M28=$L$23,1,0)</f>
        <v>0</v>
      </c>
      <c r="Q12" s="92">
        <f>IF(Dades!$M28=$L$23,1,0)</f>
        <v>0</v>
      </c>
      <c r="R12" s="66">
        <f t="shared" si="2"/>
        <v>0</v>
      </c>
      <c r="S12" s="106">
        <f>IF(Dades!$Q28=$L$23,1,0)</f>
        <v>1</v>
      </c>
      <c r="T12" s="106">
        <f>IF(Dades!$Q28=$L$22,1,0)</f>
        <v>0</v>
      </c>
      <c r="U12" s="6"/>
    </row>
    <row r="13" spans="1:21" s="216" customFormat="1" hidden="1" x14ac:dyDescent="0.3">
      <c r="A13" s="209" t="s">
        <v>154</v>
      </c>
      <c r="B13" s="210" t="s">
        <v>162</v>
      </c>
      <c r="C13" s="199" t="e">
        <f>Càlculs!#REF!</f>
        <v>#REF!</v>
      </c>
      <c r="D13" s="222" t="s">
        <v>212</v>
      </c>
      <c r="E13" s="211">
        <v>0</v>
      </c>
      <c r="F13" s="212">
        <v>0</v>
      </c>
      <c r="G13" s="213">
        <f t="shared" si="3"/>
        <v>1</v>
      </c>
      <c r="H13" s="211">
        <v>1</v>
      </c>
      <c r="I13" s="213">
        <v>0</v>
      </c>
      <c r="J13" s="214" t="e">
        <f>IF(Dades!#REF!=0,0,(Dades!#REF!/Dades!#REF!)*F.Distribució!J28)</f>
        <v>#REF!</v>
      </c>
      <c r="K13" s="212" t="e">
        <f>IF(Dades!#REF!=#REF!,1,0)</f>
        <v>#REF!</v>
      </c>
      <c r="L13" s="212" t="e">
        <f>IF(Dades!#REF!=#REF!,1,0)</f>
        <v>#REF!</v>
      </c>
      <c r="M13" s="213" t="e">
        <f>IF(Dades!#REF!=#REF!,1,0)</f>
        <v>#REF!</v>
      </c>
      <c r="N13" s="215" t="e">
        <f t="shared" si="1"/>
        <v>#REF!</v>
      </c>
      <c r="O13" s="212" t="e">
        <f>IF(Dades!#REF!=#REF!,1,0)</f>
        <v>#REF!</v>
      </c>
      <c r="P13" s="212" t="e">
        <f>IF(Dades!#REF!=#REF!,1,0)</f>
        <v>#REF!</v>
      </c>
      <c r="Q13" s="213" t="e">
        <f>IF(Dades!#REF!=#REF!,1,0)</f>
        <v>#REF!</v>
      </c>
      <c r="R13" s="215" t="e">
        <f t="shared" si="2"/>
        <v>#REF!</v>
      </c>
      <c r="S13" s="212" t="e">
        <f>IF(Dades!#REF!=#REF!,1,0)</f>
        <v>#REF!</v>
      </c>
      <c r="T13" s="213" t="e">
        <f>IF(Dades!#REF!=#REF!,1,0)</f>
        <v>#REF!</v>
      </c>
      <c r="U13" s="212"/>
    </row>
    <row r="14" spans="1:21" s="216" customFormat="1" hidden="1" x14ac:dyDescent="0.3">
      <c r="A14" s="209" t="s">
        <v>154</v>
      </c>
      <c r="B14" s="210" t="s">
        <v>163</v>
      </c>
      <c r="C14" s="199" t="e">
        <f>Càlculs!#REF!</f>
        <v>#REF!</v>
      </c>
      <c r="D14" s="222" t="s">
        <v>212</v>
      </c>
      <c r="E14" s="211">
        <v>0</v>
      </c>
      <c r="F14" s="212" t="e">
        <f>IF(Dades!#REF!="SÍ",0.3333,0)</f>
        <v>#REF!</v>
      </c>
      <c r="G14" s="213" t="e">
        <f>1-E14-F14</f>
        <v>#REF!</v>
      </c>
      <c r="H14" s="211">
        <v>1</v>
      </c>
      <c r="I14" s="213">
        <v>0</v>
      </c>
      <c r="J14" s="214">
        <f>IF(Dades!E16=0,0,(Dades!I16/Dades!E16)*F.Distribució!J28)</f>
        <v>0</v>
      </c>
      <c r="K14" s="212" t="e">
        <f>IF(Dades!K16=#REF!,1,0)</f>
        <v>#REF!</v>
      </c>
      <c r="L14" s="212" t="e">
        <f>IF(Dades!K16=#REF!,1,0)</f>
        <v>#REF!</v>
      </c>
      <c r="M14" s="213" t="e">
        <f>IF(Dades!K16=#REF!,1,0)</f>
        <v>#REF!</v>
      </c>
      <c r="N14" s="215" t="e">
        <f t="shared" si="1"/>
        <v>#REF!</v>
      </c>
      <c r="O14" s="212" t="e">
        <f>IF(Dades!M16=#REF!,1,0)</f>
        <v>#REF!</v>
      </c>
      <c r="P14" s="212" t="e">
        <f>IF(Dades!M16=#REF!,1,0)</f>
        <v>#REF!</v>
      </c>
      <c r="Q14" s="213" t="e">
        <f>IF(Dades!M16=#REF!,1,0)</f>
        <v>#REF!</v>
      </c>
      <c r="R14" s="215" t="e">
        <f t="shared" si="2"/>
        <v>#REF!</v>
      </c>
      <c r="S14" s="212" t="e">
        <f>IF(Dades!Q16=#REF!,1,0)</f>
        <v>#REF!</v>
      </c>
      <c r="T14" s="213" t="e">
        <f>IF(Dades!Q16=#REF!,1,0)</f>
        <v>#REF!</v>
      </c>
      <c r="U14" s="212"/>
    </row>
    <row r="15" spans="1:21" s="216" customFormat="1" hidden="1" x14ac:dyDescent="0.3">
      <c r="A15" s="217" t="s">
        <v>154</v>
      </c>
      <c r="B15" s="218" t="s">
        <v>164</v>
      </c>
      <c r="C15" s="200" t="e">
        <f>Càlculs!#REF!</f>
        <v>#REF!</v>
      </c>
      <c r="D15" s="222" t="s">
        <v>212</v>
      </c>
      <c r="E15" s="219">
        <v>0</v>
      </c>
      <c r="F15" s="219" t="e">
        <f>IF(Dades!#REF!="SÍ",0.3333,0)</f>
        <v>#REF!</v>
      </c>
      <c r="G15" s="220" t="e">
        <f>1-E15-F15</f>
        <v>#REF!</v>
      </c>
      <c r="H15" s="219">
        <v>1</v>
      </c>
      <c r="I15" s="219">
        <f t="shared" si="0"/>
        <v>0</v>
      </c>
      <c r="J15" s="214">
        <f>IF(Dades!E18=0,0,(Dades!I18/Dades!E18)*F.Distribució!J28)</f>
        <v>0</v>
      </c>
      <c r="K15" s="219" t="e">
        <f>IF(Dades!K18=#REF!,1,0)</f>
        <v>#REF!</v>
      </c>
      <c r="L15" s="219" t="e">
        <f>IF(Dades!K18=#REF!,1,0)</f>
        <v>#REF!</v>
      </c>
      <c r="M15" s="220" t="e">
        <f>IF(Dades!K18=#REF!,1,0)</f>
        <v>#REF!</v>
      </c>
      <c r="N15" s="221" t="e">
        <f>SUM(K15:M15)</f>
        <v>#REF!</v>
      </c>
      <c r="O15" s="219" t="e">
        <f>IF(Dades!M18=#REF!,1,0)</f>
        <v>#REF!</v>
      </c>
      <c r="P15" s="219" t="e">
        <f>IF(Dades!M18=#REF!,1,0)</f>
        <v>#REF!</v>
      </c>
      <c r="Q15" s="220" t="e">
        <f>IF(Dades!M18=#REF!,1,0)</f>
        <v>#REF!</v>
      </c>
      <c r="R15" s="221" t="e">
        <f>SUM(O15:Q15)</f>
        <v>#REF!</v>
      </c>
      <c r="S15" s="219" t="e">
        <f>IF(Dades!Q18=#REF!,1,0)</f>
        <v>#REF!</v>
      </c>
      <c r="T15" s="220" t="e">
        <f>IF(Dades!Q18=#REF!,1,0)</f>
        <v>#REF!</v>
      </c>
      <c r="U15" s="212"/>
    </row>
    <row r="18" spans="4:25" x14ac:dyDescent="0.3">
      <c r="L18" s="2"/>
      <c r="M18" s="2"/>
      <c r="N18" s="2"/>
      <c r="O18" s="230" t="s">
        <v>216</v>
      </c>
      <c r="P18" s="231"/>
      <c r="Q18" s="231"/>
      <c r="R18" s="2"/>
      <c r="S18" s="147"/>
      <c r="T18" s="147"/>
      <c r="U18" s="2"/>
      <c r="Y18" s="2"/>
    </row>
    <row r="19" spans="4:25" x14ac:dyDescent="0.3">
      <c r="D19" s="139" t="s">
        <v>141</v>
      </c>
      <c r="H19" s="62" t="s">
        <v>151</v>
      </c>
      <c r="I19" s="62" t="s">
        <v>152</v>
      </c>
      <c r="J19" s="62" t="s">
        <v>153</v>
      </c>
      <c r="L19" s="2"/>
      <c r="M19" s="2"/>
      <c r="N19" s="2"/>
      <c r="O19" s="147"/>
      <c r="P19" s="147"/>
      <c r="Q19" s="147"/>
      <c r="R19" s="2"/>
      <c r="S19" s="147"/>
      <c r="T19" s="147"/>
      <c r="U19" s="2"/>
      <c r="Y19" s="2"/>
    </row>
    <row r="20" spans="4:25" ht="15.6" x14ac:dyDescent="0.3">
      <c r="D20" t="s">
        <v>149</v>
      </c>
      <c r="H20">
        <v>33</v>
      </c>
      <c r="I20">
        <v>42</v>
      </c>
      <c r="J20">
        <f>AVERAGE(33,42)</f>
        <v>37.5</v>
      </c>
      <c r="L20" s="208" t="s">
        <v>205</v>
      </c>
      <c r="M20" s="203"/>
      <c r="O20" s="148"/>
      <c r="P20" s="148"/>
      <c r="Q20" s="148"/>
      <c r="R20" s="2"/>
      <c r="S20" s="148"/>
      <c r="T20" s="148"/>
      <c r="U20" s="2"/>
      <c r="Y20" s="2"/>
    </row>
    <row r="21" spans="4:25" x14ac:dyDescent="0.3">
      <c r="D21" t="s">
        <v>137</v>
      </c>
      <c r="H21" s="138">
        <f>H20/2.3</f>
        <v>14.347826086956523</v>
      </c>
      <c r="I21" s="138">
        <f>I20/2.3</f>
        <v>18.260869565217394</v>
      </c>
      <c r="J21" s="137">
        <f>AVERAGE(H21:I21)</f>
        <v>16.304347826086961</v>
      </c>
      <c r="L21" s="204" t="s">
        <v>208</v>
      </c>
      <c r="M21" s="205"/>
    </row>
    <row r="22" spans="4:25" x14ac:dyDescent="0.3">
      <c r="D22" t="s">
        <v>139</v>
      </c>
      <c r="H22" s="137">
        <f>H21^-1</f>
        <v>6.9696969696969688E-2</v>
      </c>
      <c r="I22" s="137">
        <f t="shared" ref="I22" si="4">I21^-1</f>
        <v>5.4761904761904755E-2</v>
      </c>
      <c r="J22" s="142">
        <f>AVERAGE(H22:I22)</f>
        <v>6.2229437229437218E-2</v>
      </c>
      <c r="L22" s="204" t="s">
        <v>210</v>
      </c>
      <c r="M22" s="205"/>
    </row>
    <row r="23" spans="4:25" x14ac:dyDescent="0.3">
      <c r="D23" t="s">
        <v>138</v>
      </c>
      <c r="H23" s="138">
        <f>H22*10000</f>
        <v>696.96969696969688</v>
      </c>
      <c r="I23" s="138">
        <f>I22*10000</f>
        <v>547.61904761904759</v>
      </c>
      <c r="J23" s="140">
        <f t="shared" ref="J23:J28" si="5">AVERAGE(H23:I23)</f>
        <v>622.29437229437224</v>
      </c>
      <c r="L23" s="206" t="s">
        <v>209</v>
      </c>
      <c r="M23" s="207"/>
      <c r="Q23" s="95"/>
      <c r="R23" s="95"/>
      <c r="S23" s="95"/>
      <c r="T23" s="95"/>
      <c r="U23" s="95"/>
    </row>
    <row r="24" spans="4:25" x14ac:dyDescent="0.3">
      <c r="D24" t="s">
        <v>140</v>
      </c>
      <c r="H24" s="141">
        <f>4*H23</f>
        <v>2787.8787878787875</v>
      </c>
      <c r="I24" s="140">
        <f>4*I23</f>
        <v>2190.4761904761904</v>
      </c>
      <c r="J24" s="140">
        <f t="shared" si="5"/>
        <v>2489.177489177489</v>
      </c>
    </row>
    <row r="25" spans="4:25" x14ac:dyDescent="0.3">
      <c r="D25" s="139" t="s">
        <v>150</v>
      </c>
      <c r="H25" s="141"/>
      <c r="I25" s="140"/>
      <c r="J25" s="140"/>
    </row>
    <row r="26" spans="4:25" x14ac:dyDescent="0.3">
      <c r="D26" t="s">
        <v>146</v>
      </c>
      <c r="H26">
        <v>125</v>
      </c>
      <c r="I26">
        <v>165</v>
      </c>
      <c r="J26" s="140">
        <f t="shared" si="5"/>
        <v>145</v>
      </c>
    </row>
    <row r="27" spans="4:25" x14ac:dyDescent="0.3">
      <c r="D27" t="s">
        <v>147</v>
      </c>
      <c r="H27" s="139">
        <f>H26/1000000</f>
        <v>1.25E-4</v>
      </c>
      <c r="I27" s="146">
        <f>I26/1000000</f>
        <v>1.65E-4</v>
      </c>
      <c r="J27" s="143">
        <f t="shared" si="5"/>
        <v>1.45E-4</v>
      </c>
    </row>
    <row r="28" spans="4:25" x14ac:dyDescent="0.3">
      <c r="D28" t="s">
        <v>148</v>
      </c>
      <c r="H28">
        <f>0.3/100</f>
        <v>3.0000000000000001E-3</v>
      </c>
      <c r="I28" s="139">
        <f>1.1/100</f>
        <v>1.1000000000000001E-2</v>
      </c>
      <c r="J28" s="144">
        <f t="shared" si="5"/>
        <v>7.000000000000001E-3</v>
      </c>
    </row>
    <row r="30" spans="4:25" x14ac:dyDescent="0.3">
      <c r="E30" t="s">
        <v>142</v>
      </c>
    </row>
    <row r="31" spans="4:25" x14ac:dyDescent="0.3">
      <c r="F31" t="s">
        <v>143</v>
      </c>
    </row>
    <row r="32" spans="4:25" x14ac:dyDescent="0.3">
      <c r="F32" t="s">
        <v>144</v>
      </c>
    </row>
    <row r="33" spans="6:6" x14ac:dyDescent="0.3">
      <c r="F33" t="s">
        <v>145</v>
      </c>
    </row>
  </sheetData>
  <sheetProtection sheet="1" objects="1" scenarios="1" formatCells="0" formatColumns="0" formatRows="0"/>
  <mergeCells count="16">
    <mergeCell ref="A1:A3"/>
    <mergeCell ref="B1:B3"/>
    <mergeCell ref="C1:C2"/>
    <mergeCell ref="E1:G1"/>
    <mergeCell ref="E2:E3"/>
    <mergeCell ref="F2:F3"/>
    <mergeCell ref="G2:G3"/>
    <mergeCell ref="S1:T1"/>
    <mergeCell ref="R2:R3"/>
    <mergeCell ref="J1:J2"/>
    <mergeCell ref="N2:N3"/>
    <mergeCell ref="H1:I1"/>
    <mergeCell ref="H2:H3"/>
    <mergeCell ref="I2:I3"/>
    <mergeCell ref="K1:M1"/>
    <mergeCell ref="O1:R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zoomScale="85" zoomScaleNormal="85" workbookViewId="0">
      <pane xSplit="3" ySplit="1" topLeftCell="D2" activePane="bottomRight" state="frozen"/>
      <selection pane="topRight" activeCell="D1" sqref="D1"/>
      <selection pane="bottomLeft" activeCell="A2" sqref="A2"/>
      <selection pane="bottomRight" activeCell="C1" sqref="C1"/>
    </sheetView>
  </sheetViews>
  <sheetFormatPr defaultRowHeight="14.4" x14ac:dyDescent="0.3"/>
  <cols>
    <col min="1" max="1" width="12.77734375" style="466" customWidth="1"/>
    <col min="2" max="2" width="26" style="466" customWidth="1"/>
    <col min="3" max="3" width="11.109375" customWidth="1"/>
    <col min="4" max="4" width="57.77734375" style="466" customWidth="1"/>
    <col min="5" max="5" width="11.6640625" bestFit="1" customWidth="1"/>
    <col min="6" max="6" width="29.77734375" style="426" customWidth="1"/>
  </cols>
  <sheetData>
    <row r="1" spans="1:8" x14ac:dyDescent="0.3">
      <c r="A1" s="414" t="s">
        <v>315</v>
      </c>
      <c r="B1" s="414" t="s">
        <v>316</v>
      </c>
      <c r="C1" s="414" t="s">
        <v>317</v>
      </c>
      <c r="D1" s="414" t="s">
        <v>318</v>
      </c>
      <c r="E1" s="415" t="s">
        <v>319</v>
      </c>
      <c r="F1" s="415" t="s">
        <v>320</v>
      </c>
      <c r="G1" s="584" t="s">
        <v>321</v>
      </c>
      <c r="H1" s="584"/>
    </row>
    <row r="2" spans="1:8" ht="28.8" x14ac:dyDescent="0.3">
      <c r="A2" s="413" t="s">
        <v>325</v>
      </c>
      <c r="B2" s="413" t="s">
        <v>326</v>
      </c>
      <c r="C2" s="416" t="s">
        <v>283</v>
      </c>
      <c r="D2" s="412" t="s">
        <v>251</v>
      </c>
      <c r="E2" s="417">
        <v>0</v>
      </c>
      <c r="F2" s="419" t="s">
        <v>330</v>
      </c>
      <c r="G2" s="418">
        <v>31</v>
      </c>
      <c r="H2" s="418"/>
    </row>
    <row r="3" spans="1:8" ht="28.8" x14ac:dyDescent="0.3">
      <c r="A3" s="413" t="s">
        <v>325</v>
      </c>
      <c r="B3" s="413" t="s">
        <v>326</v>
      </c>
      <c r="C3" s="416" t="s">
        <v>284</v>
      </c>
      <c r="D3" s="412" t="s">
        <v>252</v>
      </c>
      <c r="E3" s="421">
        <v>0.3</v>
      </c>
      <c r="F3" s="420" t="s">
        <v>322</v>
      </c>
      <c r="G3" s="418">
        <v>31</v>
      </c>
      <c r="H3" s="418"/>
    </row>
    <row r="4" spans="1:8" ht="28.8" x14ac:dyDescent="0.3">
      <c r="A4" s="413" t="s">
        <v>325</v>
      </c>
      <c r="B4" s="413" t="s">
        <v>326</v>
      </c>
      <c r="C4" s="416" t="s">
        <v>285</v>
      </c>
      <c r="D4" s="412" t="s">
        <v>253</v>
      </c>
      <c r="E4" s="421">
        <v>0.65</v>
      </c>
      <c r="F4" s="420" t="s">
        <v>322</v>
      </c>
      <c r="G4" s="418">
        <v>31</v>
      </c>
      <c r="H4" s="418"/>
    </row>
    <row r="5" spans="1:8" ht="28.8" x14ac:dyDescent="0.3">
      <c r="A5" s="413" t="s">
        <v>325</v>
      </c>
      <c r="B5" s="413" t="s">
        <v>326</v>
      </c>
      <c r="C5" s="416" t="s">
        <v>286</v>
      </c>
      <c r="D5" s="412" t="s">
        <v>254</v>
      </c>
      <c r="E5" s="421">
        <v>0.5</v>
      </c>
      <c r="F5" s="419" t="s">
        <v>329</v>
      </c>
      <c r="G5" s="418">
        <v>31</v>
      </c>
      <c r="H5" s="418"/>
    </row>
    <row r="6" spans="1:8" ht="28.8" x14ac:dyDescent="0.3">
      <c r="A6" s="413" t="s">
        <v>325</v>
      </c>
      <c r="B6" s="413" t="s">
        <v>326</v>
      </c>
      <c r="C6" s="416" t="s">
        <v>287</v>
      </c>
      <c r="D6" s="412" t="s">
        <v>255</v>
      </c>
      <c r="E6" s="421">
        <v>0.85</v>
      </c>
      <c r="F6" s="419" t="s">
        <v>329</v>
      </c>
      <c r="G6" s="418">
        <v>31</v>
      </c>
      <c r="H6" s="418"/>
    </row>
    <row r="7" spans="1:8" ht="28.8" x14ac:dyDescent="0.3">
      <c r="A7" s="413" t="s">
        <v>325</v>
      </c>
      <c r="B7" s="413" t="s">
        <v>326</v>
      </c>
      <c r="C7" s="416" t="s">
        <v>288</v>
      </c>
      <c r="D7" s="412" t="s">
        <v>256</v>
      </c>
      <c r="E7" s="421">
        <v>0.9</v>
      </c>
      <c r="F7" s="419" t="s">
        <v>329</v>
      </c>
      <c r="G7" s="418">
        <v>31</v>
      </c>
      <c r="H7" s="418"/>
    </row>
    <row r="8" spans="1:8" ht="28.8" x14ac:dyDescent="0.3">
      <c r="A8" s="413" t="s">
        <v>325</v>
      </c>
      <c r="B8" s="413" t="s">
        <v>326</v>
      </c>
      <c r="C8" s="416" t="s">
        <v>289</v>
      </c>
      <c r="D8" s="412" t="s">
        <v>257</v>
      </c>
      <c r="E8" s="421">
        <v>0.8</v>
      </c>
      <c r="F8" s="420" t="s">
        <v>322</v>
      </c>
      <c r="G8" s="418">
        <v>31</v>
      </c>
      <c r="H8" s="418"/>
    </row>
    <row r="9" spans="1:8" ht="28.8" x14ac:dyDescent="0.3">
      <c r="A9" s="413" t="s">
        <v>327</v>
      </c>
      <c r="B9" s="413" t="s">
        <v>326</v>
      </c>
      <c r="C9" s="416" t="s">
        <v>290</v>
      </c>
      <c r="D9" s="412" t="s">
        <v>265</v>
      </c>
      <c r="E9" s="421">
        <v>0</v>
      </c>
      <c r="F9" s="419" t="s">
        <v>330</v>
      </c>
      <c r="G9" s="418">
        <v>31</v>
      </c>
      <c r="H9" s="418"/>
    </row>
    <row r="10" spans="1:8" ht="28.8" x14ac:dyDescent="0.3">
      <c r="A10" s="413" t="s">
        <v>327</v>
      </c>
      <c r="B10" s="413" t="s">
        <v>326</v>
      </c>
      <c r="C10" s="416" t="s">
        <v>303</v>
      </c>
      <c r="D10" s="412" t="s">
        <v>355</v>
      </c>
      <c r="E10" s="422">
        <v>0.25</v>
      </c>
      <c r="F10" s="420" t="s">
        <v>322</v>
      </c>
      <c r="G10" s="418">
        <v>32</v>
      </c>
      <c r="H10" s="418"/>
    </row>
    <row r="11" spans="1:8" ht="28.8" x14ac:dyDescent="0.3">
      <c r="A11" s="413" t="s">
        <v>327</v>
      </c>
      <c r="B11" s="413" t="s">
        <v>326</v>
      </c>
      <c r="C11" s="416" t="s">
        <v>304</v>
      </c>
      <c r="D11" s="412" t="s">
        <v>354</v>
      </c>
      <c r="E11" s="422">
        <v>0.3</v>
      </c>
      <c r="F11" s="420" t="s">
        <v>322</v>
      </c>
      <c r="G11" s="418">
        <v>32</v>
      </c>
      <c r="H11" s="418"/>
    </row>
    <row r="12" spans="1:8" ht="28.8" x14ac:dyDescent="0.3">
      <c r="A12" s="413" t="s">
        <v>327</v>
      </c>
      <c r="B12" s="413" t="s">
        <v>326</v>
      </c>
      <c r="C12" s="416" t="s">
        <v>291</v>
      </c>
      <c r="D12" s="412" t="s">
        <v>267</v>
      </c>
      <c r="E12" s="422">
        <v>0.77499999999999991</v>
      </c>
      <c r="F12" s="420" t="s">
        <v>322</v>
      </c>
      <c r="G12" s="418">
        <v>31</v>
      </c>
      <c r="H12" s="418"/>
    </row>
    <row r="13" spans="1:8" ht="28.8" x14ac:dyDescent="0.3">
      <c r="A13" s="413" t="s">
        <v>327</v>
      </c>
      <c r="B13" s="413" t="s">
        <v>326</v>
      </c>
      <c r="C13" s="416" t="s">
        <v>292</v>
      </c>
      <c r="D13" s="412" t="s">
        <v>266</v>
      </c>
      <c r="E13" s="422">
        <v>0.875</v>
      </c>
      <c r="F13" s="420" t="s">
        <v>322</v>
      </c>
      <c r="G13" s="418">
        <v>31</v>
      </c>
      <c r="H13" s="418">
        <v>32</v>
      </c>
    </row>
    <row r="14" spans="1:8" ht="28.8" x14ac:dyDescent="0.3">
      <c r="A14" s="413" t="s">
        <v>327</v>
      </c>
      <c r="B14" s="413" t="s">
        <v>326</v>
      </c>
      <c r="C14" s="416" t="s">
        <v>293</v>
      </c>
      <c r="D14" s="412" t="s">
        <v>268</v>
      </c>
      <c r="E14" s="422">
        <v>0.75</v>
      </c>
      <c r="F14" s="420" t="s">
        <v>322</v>
      </c>
      <c r="G14" s="418">
        <v>31</v>
      </c>
      <c r="H14" s="418"/>
    </row>
    <row r="15" spans="1:8" ht="28.8" x14ac:dyDescent="0.3">
      <c r="A15" s="413" t="s">
        <v>327</v>
      </c>
      <c r="B15" s="413" t="s">
        <v>326</v>
      </c>
      <c r="C15" s="416" t="s">
        <v>294</v>
      </c>
      <c r="D15" s="412" t="s">
        <v>269</v>
      </c>
      <c r="E15" s="422">
        <v>0.5</v>
      </c>
      <c r="F15" s="420" t="s">
        <v>322</v>
      </c>
      <c r="G15" s="418">
        <v>31</v>
      </c>
      <c r="H15" s="418">
        <v>32</v>
      </c>
    </row>
    <row r="16" spans="1:8" ht="28.8" x14ac:dyDescent="0.3">
      <c r="A16" s="413" t="s">
        <v>327</v>
      </c>
      <c r="B16" s="413" t="s">
        <v>326</v>
      </c>
      <c r="C16" s="416" t="s">
        <v>295</v>
      </c>
      <c r="D16" s="413" t="s">
        <v>308</v>
      </c>
      <c r="E16" s="422">
        <v>0.8</v>
      </c>
      <c r="F16" s="420" t="s">
        <v>322</v>
      </c>
      <c r="G16" s="418">
        <v>31</v>
      </c>
      <c r="H16" s="418">
        <v>32</v>
      </c>
    </row>
    <row r="17" spans="1:8" ht="28.8" x14ac:dyDescent="0.3">
      <c r="A17" s="413" t="s">
        <v>327</v>
      </c>
      <c r="B17" s="413" t="s">
        <v>326</v>
      </c>
      <c r="C17" s="416" t="s">
        <v>305</v>
      </c>
      <c r="D17" s="413" t="s">
        <v>306</v>
      </c>
      <c r="E17" s="422">
        <v>0.32</v>
      </c>
      <c r="F17" s="423" t="s">
        <v>328</v>
      </c>
      <c r="G17" s="418">
        <v>32</v>
      </c>
      <c r="H17" s="418"/>
    </row>
    <row r="18" spans="1:8" ht="28.8" x14ac:dyDescent="0.3">
      <c r="A18" s="413" t="s">
        <v>351</v>
      </c>
      <c r="B18" s="413" t="s">
        <v>323</v>
      </c>
      <c r="C18" s="416" t="s">
        <v>296</v>
      </c>
      <c r="D18" s="424" t="s">
        <v>206</v>
      </c>
      <c r="E18" s="425">
        <v>0</v>
      </c>
      <c r="F18" s="419" t="s">
        <v>330</v>
      </c>
      <c r="G18" s="418">
        <v>14</v>
      </c>
      <c r="H18" s="418"/>
    </row>
    <row r="19" spans="1:8" ht="28.8" x14ac:dyDescent="0.3">
      <c r="A19" s="413" t="s">
        <v>351</v>
      </c>
      <c r="B19" s="413" t="s">
        <v>323</v>
      </c>
      <c r="C19" s="416" t="s">
        <v>297</v>
      </c>
      <c r="D19" s="424" t="s">
        <v>207</v>
      </c>
      <c r="E19" s="417">
        <v>0.8</v>
      </c>
      <c r="F19" s="419" t="s">
        <v>329</v>
      </c>
      <c r="G19" s="418">
        <v>14</v>
      </c>
      <c r="H19" s="418"/>
    </row>
    <row r="20" spans="1:8" ht="28.8" x14ac:dyDescent="0.3">
      <c r="A20" s="413" t="s">
        <v>351</v>
      </c>
      <c r="B20" s="413" t="s">
        <v>324</v>
      </c>
      <c r="C20" s="416" t="s">
        <v>298</v>
      </c>
      <c r="D20" s="412" t="s">
        <v>258</v>
      </c>
      <c r="E20" s="417">
        <v>0</v>
      </c>
      <c r="F20" s="419" t="s">
        <v>330</v>
      </c>
      <c r="G20" s="418">
        <v>22</v>
      </c>
      <c r="H20" s="418"/>
    </row>
    <row r="21" spans="1:8" ht="28.8" x14ac:dyDescent="0.3">
      <c r="A21" s="413" t="s">
        <v>351</v>
      </c>
      <c r="B21" s="413" t="s">
        <v>324</v>
      </c>
      <c r="C21" s="416" t="s">
        <v>299</v>
      </c>
      <c r="D21" s="412" t="s">
        <v>259</v>
      </c>
      <c r="E21" s="417">
        <v>0.9</v>
      </c>
      <c r="F21" s="419" t="s">
        <v>329</v>
      </c>
      <c r="G21" s="418">
        <v>22</v>
      </c>
      <c r="H21" s="418"/>
    </row>
    <row r="22" spans="1:8" ht="28.8" x14ac:dyDescent="0.3">
      <c r="A22" s="413" t="s">
        <v>351</v>
      </c>
      <c r="B22" s="413" t="s">
        <v>324</v>
      </c>
      <c r="C22" s="416" t="s">
        <v>300</v>
      </c>
      <c r="D22" s="412" t="s">
        <v>260</v>
      </c>
      <c r="E22" s="417">
        <v>0.7</v>
      </c>
      <c r="F22" s="419" t="s">
        <v>329</v>
      </c>
      <c r="G22" s="418">
        <v>22</v>
      </c>
      <c r="H22" s="418"/>
    </row>
    <row r="23" spans="1:8" ht="28.8" x14ac:dyDescent="0.3">
      <c r="A23" s="413" t="s">
        <v>351</v>
      </c>
      <c r="B23" s="413" t="s">
        <v>324</v>
      </c>
      <c r="C23" s="416" t="s">
        <v>301</v>
      </c>
      <c r="D23" s="412" t="s">
        <v>261</v>
      </c>
      <c r="E23" s="417">
        <v>0.55000000000000004</v>
      </c>
      <c r="F23" s="419" t="s">
        <v>329</v>
      </c>
      <c r="G23" s="418">
        <v>22</v>
      </c>
      <c r="H23" s="418"/>
    </row>
    <row r="24" spans="1:8" ht="28.8" x14ac:dyDescent="0.3">
      <c r="A24" s="413" t="s">
        <v>351</v>
      </c>
      <c r="B24" s="413" t="s">
        <v>324</v>
      </c>
      <c r="C24" s="416" t="s">
        <v>302</v>
      </c>
      <c r="D24" s="412" t="s">
        <v>262</v>
      </c>
      <c r="E24" s="417">
        <v>0.2</v>
      </c>
      <c r="F24" s="419" t="s">
        <v>329</v>
      </c>
      <c r="G24" s="418">
        <v>22</v>
      </c>
      <c r="H24" s="418"/>
    </row>
  </sheetData>
  <sheetProtection sheet="1" objects="1" scenarios="1" formatCells="0" formatColumns="0" formatRows="0"/>
  <mergeCells count="1">
    <mergeCell ref="G1:H1"/>
  </mergeCells>
  <hyperlinks>
    <hyperlink ref="F3" r:id="rId1"/>
    <hyperlink ref="F4" r:id="rId2"/>
    <hyperlink ref="F8" r:id="rId3"/>
  </hyperlinks>
  <pageMargins left="0.7" right="0.7" top="0.75" bottom="0.75" header="0.3" footer="0.3"/>
  <pageSetup paperSize="9"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8</vt:i4>
      </vt:variant>
      <vt:variant>
        <vt:lpstr>Intervals amb nom</vt:lpstr>
      </vt:variant>
      <vt:variant>
        <vt:i4>3</vt:i4>
      </vt:variant>
    </vt:vector>
  </HeadingPairs>
  <TitlesOfParts>
    <vt:vector size="11" baseType="lpstr">
      <vt:lpstr>Instruccions</vt:lpstr>
      <vt:lpstr>Dades_Id_expl</vt:lpstr>
      <vt:lpstr>Dades</vt:lpstr>
      <vt:lpstr>Resultats</vt:lpstr>
      <vt:lpstr>Càlculs</vt:lpstr>
      <vt:lpstr>F.Emissió</vt:lpstr>
      <vt:lpstr>F.Distribució</vt:lpstr>
      <vt:lpstr>Coeficients reducció</vt:lpstr>
      <vt:lpstr>A_almacenamiento</vt:lpstr>
      <vt:lpstr>Dades!A_emmagatzematge</vt:lpstr>
      <vt:lpstr>Resultats!Àrea_d'impressió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Zaera Garcia, Fernando</dc:creator>
  <cp:lastModifiedBy>Pueyo Bes, Enric</cp:lastModifiedBy>
  <cp:lastPrinted>2020-11-10T06:13:42Z</cp:lastPrinted>
  <dcterms:created xsi:type="dcterms:W3CDTF">2015-12-03T12:52:24Z</dcterms:created>
  <dcterms:modified xsi:type="dcterms:W3CDTF">2021-02-10T10:38:29Z</dcterms:modified>
</cp:coreProperties>
</file>