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AquestLlibreDeTreball" defaultThemeVersion="124226"/>
  <mc:AlternateContent xmlns:mc="http://schemas.openxmlformats.org/markup-compatibility/2006">
    <mc:Choice Requires="x15">
      <x15ac:absPath xmlns:x15ac="http://schemas.microsoft.com/office/spreadsheetml/2010/11/ac" url="D:\77111785F\Desktop\plans\juliol\juliol 2023\"/>
    </mc:Choice>
  </mc:AlternateContent>
  <workbookProtection lockStructure="1"/>
  <bookViews>
    <workbookView xWindow="0" yWindow="-12" windowWidth="13968" windowHeight="6660" activeTab="1"/>
  </bookViews>
  <sheets>
    <sheet name="Instruccions" sheetId="46" r:id="rId1"/>
    <sheet name="Dades" sheetId="40" r:id="rId2"/>
    <sheet name="Resultats" sheetId="44" r:id="rId3"/>
    <sheet name="Càlculs" sheetId="34" r:id="rId4"/>
    <sheet name="F.Emissió" sheetId="35" r:id="rId5"/>
    <sheet name="F.Distribució" sheetId="41" r:id="rId6"/>
    <sheet name="Coeficients reducció" sheetId="45" r:id="rId7"/>
  </sheets>
  <externalReferences>
    <externalReference r:id="rId8"/>
    <externalReference r:id="rId9"/>
  </externalReferences>
  <definedNames>
    <definedName name="_xlnm._FilterDatabase" localSheetId="6" hidden="1">'Coeficients reducció'!$A$1:$H$40</definedName>
    <definedName name="A_almacenamiento" comment="Destino de los purines">Dades!$O$25</definedName>
    <definedName name="_xlnm.Print_Area" localSheetId="2">Resultats!$A$1:$I$51</definedName>
    <definedName name="Z_D886BD10_986C_4491_A4B8_2CD64A5C3006_.wvu.Rows" localSheetId="3" hidden="1">Càlculs!$21:$27</definedName>
  </definedNames>
  <calcPr calcId="162913"/>
  <customWorkbookViews>
    <customWorkbookView name="Eina Ministeri Porcino" guid="{D886BD10-986C-4491-A4B8-2CD64A5C3006}" xWindow="10" yWindow="351" windowWidth="1580" windowHeight="263" activeSheetId="38"/>
  </customWorkbookViews>
</workbook>
</file>

<file path=xl/calcChain.xml><?xml version="1.0" encoding="utf-8"?>
<calcChain xmlns="http://schemas.openxmlformats.org/spreadsheetml/2006/main">
  <c r="C19" i="44" l="1"/>
  <c r="B41" i="44"/>
  <c r="B40" i="44"/>
  <c r="B39" i="44"/>
  <c r="B38" i="44"/>
  <c r="B37" i="44"/>
  <c r="O12" i="35" l="1"/>
  <c r="O10" i="35"/>
  <c r="O9" i="35"/>
  <c r="O6" i="35"/>
  <c r="O3" i="35"/>
  <c r="C4" i="44" l="1"/>
  <c r="E4" i="44" s="1"/>
  <c r="P72" i="35" l="1"/>
  <c r="P77" i="35"/>
  <c r="P76" i="35"/>
  <c r="P75" i="35"/>
  <c r="P74" i="35"/>
  <c r="P73" i="35"/>
  <c r="P71" i="35"/>
  <c r="P70" i="35"/>
  <c r="P69" i="35"/>
  <c r="P68" i="35"/>
  <c r="P67" i="35"/>
  <c r="P66" i="35"/>
  <c r="P65" i="35"/>
  <c r="P64" i="35"/>
  <c r="P63" i="35"/>
  <c r="P62" i="35"/>
  <c r="P52" i="35"/>
  <c r="P57" i="35"/>
  <c r="P56" i="35"/>
  <c r="P55" i="35"/>
  <c r="P54" i="35"/>
  <c r="P53" i="35"/>
  <c r="P51" i="35"/>
  <c r="P50" i="35"/>
  <c r="P49" i="35"/>
  <c r="P48" i="35"/>
  <c r="P47" i="35"/>
  <c r="P46" i="35"/>
  <c r="P45" i="35"/>
  <c r="P44" i="35"/>
  <c r="P43" i="35"/>
  <c r="P42" i="35"/>
  <c r="P16" i="35"/>
  <c r="P15" i="35"/>
  <c r="P14" i="35"/>
  <c r="P13" i="35"/>
  <c r="P11" i="35"/>
  <c r="P8" i="35"/>
  <c r="P7" i="35"/>
  <c r="P5" i="35"/>
  <c r="P4" i="35"/>
  <c r="P23" i="35"/>
  <c r="P24" i="35"/>
  <c r="P25" i="35"/>
  <c r="P26" i="35"/>
  <c r="P27" i="35"/>
  <c r="P28" i="35"/>
  <c r="P29" i="35"/>
  <c r="P30" i="35"/>
  <c r="P31" i="35"/>
  <c r="P32" i="35"/>
  <c r="P33" i="35"/>
  <c r="P34" i="35"/>
  <c r="P35" i="35"/>
  <c r="P36" i="35"/>
  <c r="CS12" i="34" l="1"/>
  <c r="CR12" i="34"/>
  <c r="C5" i="44" l="1"/>
  <c r="E5" i="44" s="1"/>
  <c r="N25" i="40" l="1"/>
  <c r="T27" i="40" l="1"/>
  <c r="AG13" i="41" l="1"/>
  <c r="AG12" i="41"/>
  <c r="AG11" i="41"/>
  <c r="AG10" i="41"/>
  <c r="AG9" i="41"/>
  <c r="AG8" i="41"/>
  <c r="AG7" i="41"/>
  <c r="AG6" i="41"/>
  <c r="AG4" i="41"/>
  <c r="AG5" i="41"/>
  <c r="AF12" i="41" l="1"/>
  <c r="AF9" i="41"/>
  <c r="AF8" i="41"/>
  <c r="AF6" i="41"/>
  <c r="AF5" i="41"/>
  <c r="AF7" i="41"/>
  <c r="AF13" i="41"/>
  <c r="AF11" i="41"/>
  <c r="AF10" i="41"/>
  <c r="AF4" i="41"/>
  <c r="AE13" i="41"/>
  <c r="AD13" i="41" s="1"/>
  <c r="AE12" i="41"/>
  <c r="AD12" i="41" s="1"/>
  <c r="AE11" i="41"/>
  <c r="AD11" i="41" s="1"/>
  <c r="AE10" i="41"/>
  <c r="AD10" i="41" s="1"/>
  <c r="AE9" i="41"/>
  <c r="AD9" i="41" s="1"/>
  <c r="AE8" i="41"/>
  <c r="AD8" i="41" s="1"/>
  <c r="AE4" i="41"/>
  <c r="AD4" i="41" s="1"/>
  <c r="AE5" i="41"/>
  <c r="AD5" i="41" s="1"/>
  <c r="AE6" i="41"/>
  <c r="AD6" i="41" s="1"/>
  <c r="AE7" i="41"/>
  <c r="AD7" i="41" s="1"/>
  <c r="W33" i="40" l="1"/>
  <c r="W31" i="40"/>
  <c r="W29" i="40"/>
  <c r="W27" i="40"/>
  <c r="W25" i="40"/>
  <c r="T33" i="40"/>
  <c r="T31" i="40"/>
  <c r="T29" i="40"/>
  <c r="T25" i="40"/>
  <c r="N27" i="40"/>
  <c r="N29" i="40"/>
  <c r="N33" i="40"/>
  <c r="N31" i="40"/>
  <c r="N34" i="40" l="1"/>
  <c r="T34" i="40"/>
  <c r="W34" i="40"/>
  <c r="AG17" i="41"/>
  <c r="AG16" i="41"/>
  <c r="AG15" i="41"/>
  <c r="AG14" i="41"/>
  <c r="AF17" i="41"/>
  <c r="AF16" i="41"/>
  <c r="AF15" i="41"/>
  <c r="AF14" i="41"/>
  <c r="AE17" i="41"/>
  <c r="AE16" i="41"/>
  <c r="AE15" i="41"/>
  <c r="AE14" i="41"/>
  <c r="AD17" i="41"/>
  <c r="AD16" i="41"/>
  <c r="AD15" i="41"/>
  <c r="AD14" i="41"/>
  <c r="W17" i="41"/>
  <c r="W16" i="41"/>
  <c r="W15" i="41"/>
  <c r="W14" i="41"/>
  <c r="W13" i="41"/>
  <c r="W12" i="41"/>
  <c r="W11" i="41"/>
  <c r="W10" i="41"/>
  <c r="W9" i="41"/>
  <c r="W8" i="41"/>
  <c r="W7" i="41"/>
  <c r="W6" i="41"/>
  <c r="W5" i="41"/>
  <c r="T17" i="41"/>
  <c r="T16" i="41"/>
  <c r="T15" i="41"/>
  <c r="T14" i="41"/>
  <c r="T13" i="41"/>
  <c r="T12" i="41"/>
  <c r="T11" i="41"/>
  <c r="T10" i="41"/>
  <c r="T9" i="41"/>
  <c r="T8" i="41"/>
  <c r="T7" i="41"/>
  <c r="T6" i="41"/>
  <c r="T5" i="41"/>
  <c r="Q17" i="41"/>
  <c r="Q16" i="41"/>
  <c r="Q15" i="41"/>
  <c r="Q14" i="41"/>
  <c r="Q13" i="41"/>
  <c r="Q12" i="41"/>
  <c r="Q11" i="41"/>
  <c r="Q10" i="41"/>
  <c r="Q9" i="41"/>
  <c r="Q8" i="41"/>
  <c r="Q7" i="41"/>
  <c r="Q6" i="41"/>
  <c r="Q5" i="41"/>
  <c r="Q4" i="41"/>
  <c r="C8" i="44"/>
  <c r="E8" i="44" s="1"/>
  <c r="C7" i="44"/>
  <c r="E7" i="44" s="1"/>
  <c r="C6" i="44"/>
  <c r="E6" i="44" s="1"/>
  <c r="W4" i="41" l="1"/>
  <c r="T4" i="41"/>
  <c r="C7" i="34" l="1"/>
  <c r="CR7" i="34" l="1"/>
  <c r="D38" i="44" s="1"/>
  <c r="CS7" i="34"/>
  <c r="V16" i="35"/>
  <c r="V15" i="35"/>
  <c r="V14" i="35"/>
  <c r="V13" i="35"/>
  <c r="V11" i="35"/>
  <c r="V8" i="35"/>
  <c r="V7" i="35"/>
  <c r="V5" i="35"/>
  <c r="V4" i="35"/>
  <c r="AB16" i="35"/>
  <c r="AB15" i="35"/>
  <c r="AB14" i="35"/>
  <c r="AB13" i="35"/>
  <c r="AB11" i="35"/>
  <c r="AB8" i="35"/>
  <c r="AB7" i="35"/>
  <c r="AB5" i="35"/>
  <c r="AB4" i="35"/>
  <c r="Y16" i="35"/>
  <c r="Y15" i="35"/>
  <c r="Y14" i="35"/>
  <c r="Y13" i="35"/>
  <c r="Y11" i="35"/>
  <c r="Y8" i="35"/>
  <c r="Y7" i="35"/>
  <c r="Y5" i="35"/>
  <c r="Y4" i="35"/>
  <c r="O16" i="35"/>
  <c r="O15" i="35"/>
  <c r="O14" i="35"/>
  <c r="O13" i="35"/>
  <c r="O11" i="35"/>
  <c r="O8" i="35"/>
  <c r="O7" i="35"/>
  <c r="O5" i="35"/>
  <c r="O4" i="35"/>
  <c r="Q8" i="35" l="1"/>
  <c r="Q13" i="35"/>
  <c r="Q15" i="35"/>
  <c r="Q11" i="35"/>
  <c r="Q16" i="35"/>
  <c r="Q14" i="35"/>
  <c r="Q7" i="35"/>
  <c r="Q5" i="35"/>
  <c r="Q4" i="35"/>
  <c r="AL36" i="34"/>
  <c r="AM36" i="34"/>
  <c r="AN36" i="34"/>
  <c r="AO36" i="34"/>
  <c r="AL39" i="34"/>
  <c r="AM39" i="34"/>
  <c r="AN39" i="34"/>
  <c r="AO39" i="34"/>
  <c r="AL40" i="34"/>
  <c r="AM40" i="34"/>
  <c r="AN40" i="34"/>
  <c r="AO40" i="34"/>
  <c r="AL42" i="34"/>
  <c r="AM42" i="34"/>
  <c r="AN42" i="34"/>
  <c r="AO42" i="34"/>
  <c r="AU36" i="34"/>
  <c r="AV36" i="34"/>
  <c r="AW36" i="34"/>
  <c r="AX36" i="34"/>
  <c r="AU39" i="34"/>
  <c r="AV39" i="34"/>
  <c r="AW39" i="34"/>
  <c r="AX39" i="34"/>
  <c r="AU40" i="34"/>
  <c r="AV40" i="34"/>
  <c r="AW40" i="34"/>
  <c r="AX40" i="34"/>
  <c r="AU42" i="34"/>
  <c r="AV42" i="34"/>
  <c r="AW42" i="34"/>
  <c r="AX42" i="34"/>
  <c r="AX33" i="34"/>
  <c r="AW33" i="34"/>
  <c r="AW4" i="34"/>
  <c r="AV33" i="34"/>
  <c r="AU33" i="34"/>
  <c r="AO33" i="34"/>
  <c r="AN33" i="34"/>
  <c r="AM33" i="34"/>
  <c r="AL33" i="34"/>
  <c r="AF36" i="34"/>
  <c r="AF39" i="34"/>
  <c r="AF40" i="34"/>
  <c r="AF42" i="34"/>
  <c r="AF33" i="34"/>
  <c r="W36" i="34"/>
  <c r="W39" i="34"/>
  <c r="W40" i="34"/>
  <c r="W42" i="34"/>
  <c r="W33" i="34"/>
  <c r="H36" i="34"/>
  <c r="I36" i="34"/>
  <c r="H39" i="34"/>
  <c r="I39" i="34"/>
  <c r="H40" i="34"/>
  <c r="I40" i="34"/>
  <c r="H42" i="34"/>
  <c r="I42" i="34"/>
  <c r="I33" i="34"/>
  <c r="H33" i="34"/>
  <c r="F42" i="34"/>
  <c r="F40" i="34"/>
  <c r="F39" i="34"/>
  <c r="F36" i="34"/>
  <c r="F33" i="34"/>
  <c r="C39" i="34"/>
  <c r="E39" i="34" s="1"/>
  <c r="C33" i="34"/>
  <c r="E33" i="34" l="1"/>
  <c r="Q39" i="34"/>
  <c r="K39" i="34"/>
  <c r="G39" i="34"/>
  <c r="R39" i="34" l="1"/>
  <c r="S39" i="34" s="1"/>
  <c r="L39" i="34"/>
  <c r="M39" i="34" s="1"/>
  <c r="Q33" i="34"/>
  <c r="K33" i="34"/>
  <c r="G33" i="34"/>
  <c r="H4" i="34"/>
  <c r="T39" i="34" l="1"/>
  <c r="R33" i="34"/>
  <c r="S33" i="34" s="1"/>
  <c r="L33" i="34"/>
  <c r="M33" i="34" s="1"/>
  <c r="O39" i="34"/>
  <c r="U33" i="34" l="1"/>
  <c r="N39" i="34"/>
  <c r="V39" i="34" s="1"/>
  <c r="P39" i="34"/>
  <c r="U39" i="34"/>
  <c r="T6" i="35"/>
  <c r="F5" i="35"/>
  <c r="F16" i="35"/>
  <c r="F15" i="35"/>
  <c r="F14" i="35"/>
  <c r="F13" i="35"/>
  <c r="F12" i="35"/>
  <c r="F11" i="35"/>
  <c r="F10" i="35"/>
  <c r="F9" i="35"/>
  <c r="F8" i="35"/>
  <c r="F7" i="35"/>
  <c r="F6" i="35"/>
  <c r="F4" i="35"/>
  <c r="F3" i="35"/>
  <c r="I3" i="35"/>
  <c r="AB29" i="35"/>
  <c r="AB28" i="35"/>
  <c r="AB27" i="35"/>
  <c r="AB26" i="35"/>
  <c r="AB25" i="35"/>
  <c r="AB24" i="35"/>
  <c r="AB23" i="35"/>
  <c r="AB22" i="35"/>
  <c r="V41" i="35"/>
  <c r="V42" i="35"/>
  <c r="V43" i="35"/>
  <c r="V44" i="35"/>
  <c r="V45" i="35"/>
  <c r="V40" i="35"/>
  <c r="V39" i="35"/>
  <c r="V38" i="35"/>
  <c r="V37" i="35"/>
  <c r="V36" i="35"/>
  <c r="V20" i="35"/>
  <c r="V24" i="35"/>
  <c r="V23" i="35"/>
  <c r="V22" i="35"/>
  <c r="V21" i="35"/>
  <c r="P22" i="35"/>
  <c r="P12" i="35" l="1"/>
  <c r="P6" i="35"/>
  <c r="P3" i="35"/>
  <c r="P10" i="35"/>
  <c r="P9" i="35"/>
  <c r="V6" i="35"/>
  <c r="W6" i="35" s="1"/>
  <c r="V12" i="35"/>
  <c r="V3" i="35"/>
  <c r="V10" i="35"/>
  <c r="V9" i="35"/>
  <c r="Y3" i="35"/>
  <c r="Y10" i="35"/>
  <c r="Y6" i="35"/>
  <c r="AB12" i="35"/>
  <c r="AB3" i="35"/>
  <c r="Y9" i="35"/>
  <c r="AB10" i="35"/>
  <c r="Y12" i="35"/>
  <c r="AB9" i="35"/>
  <c r="AB6" i="35"/>
  <c r="N33" i="34"/>
  <c r="O33" i="34"/>
  <c r="T33" i="34"/>
  <c r="M14" i="35"/>
  <c r="AC5" i="35"/>
  <c r="BU42" i="34"/>
  <c r="BU40" i="34"/>
  <c r="BU39" i="34"/>
  <c r="BU36" i="34"/>
  <c r="BT42" i="34"/>
  <c r="BT40" i="34"/>
  <c r="BT39" i="34"/>
  <c r="BT36" i="34"/>
  <c r="BS42" i="34"/>
  <c r="BS40" i="34"/>
  <c r="BS39" i="34"/>
  <c r="BS36" i="34"/>
  <c r="BR42" i="34"/>
  <c r="BR40" i="34"/>
  <c r="BR39" i="34"/>
  <c r="BR36" i="34"/>
  <c r="BR33" i="34"/>
  <c r="AT42" i="34"/>
  <c r="AT40" i="34"/>
  <c r="AT39" i="34"/>
  <c r="AT36" i="34"/>
  <c r="Q9" i="35" l="1"/>
  <c r="Q10" i="35"/>
  <c r="Q3" i="35"/>
  <c r="Q6" i="35"/>
  <c r="Q12" i="35"/>
  <c r="P33" i="34"/>
  <c r="V33" i="34"/>
  <c r="M12" i="35"/>
  <c r="M16" i="35"/>
  <c r="M7" i="35"/>
  <c r="M8" i="35"/>
  <c r="M4" i="35"/>
  <c r="M13" i="35"/>
  <c r="M11" i="35"/>
  <c r="M5" i="35"/>
  <c r="M9" i="35"/>
  <c r="M6" i="35"/>
  <c r="M3" i="35"/>
  <c r="M10" i="35"/>
  <c r="M15" i="35"/>
  <c r="BU33" i="34"/>
  <c r="BT33" i="34"/>
  <c r="BS33" i="34"/>
  <c r="AT33" i="34"/>
  <c r="BR7" i="34" l="1"/>
  <c r="BS7" i="34"/>
  <c r="BT7" i="34"/>
  <c r="BU7" i="34"/>
  <c r="BR10" i="34"/>
  <c r="BS10" i="34"/>
  <c r="BT10" i="34"/>
  <c r="BU10" i="34"/>
  <c r="BR11" i="34"/>
  <c r="BS11" i="34"/>
  <c r="BT11" i="34"/>
  <c r="BU11" i="34"/>
  <c r="BR13" i="34"/>
  <c r="BS13" i="34"/>
  <c r="BT13" i="34"/>
  <c r="BU13" i="34"/>
  <c r="BU4" i="34"/>
  <c r="BT4" i="34"/>
  <c r="BR4" i="34"/>
  <c r="AU7" i="34"/>
  <c r="AV7" i="34"/>
  <c r="AW7" i="34"/>
  <c r="AX7" i="34"/>
  <c r="AU10" i="34"/>
  <c r="AV10" i="34"/>
  <c r="AW10" i="34"/>
  <c r="AX10" i="34"/>
  <c r="AU11" i="34"/>
  <c r="AV11" i="34"/>
  <c r="AW11" i="34"/>
  <c r="AX11" i="34"/>
  <c r="AU13" i="34"/>
  <c r="AV13" i="34"/>
  <c r="AW13" i="34"/>
  <c r="AX13" i="34"/>
  <c r="AX4" i="34"/>
  <c r="AV4" i="34"/>
  <c r="AU4" i="34"/>
  <c r="AT7" i="34"/>
  <c r="AT10" i="34"/>
  <c r="AT11" i="34"/>
  <c r="AT13" i="34"/>
  <c r="AT4" i="34"/>
  <c r="AN7" i="34"/>
  <c r="AO7" i="34"/>
  <c r="AN10" i="34"/>
  <c r="AO10" i="34"/>
  <c r="AN11" i="34"/>
  <c r="AO11" i="34"/>
  <c r="AN13" i="34"/>
  <c r="AO13" i="34"/>
  <c r="AO4" i="34"/>
  <c r="AN4" i="34"/>
  <c r="AM7" i="34"/>
  <c r="AM10" i="34"/>
  <c r="AM11" i="34"/>
  <c r="AM13" i="34"/>
  <c r="AM4" i="34"/>
  <c r="AL7" i="34"/>
  <c r="AL10" i="34"/>
  <c r="AL11" i="34"/>
  <c r="AL13" i="34"/>
  <c r="AL4" i="34"/>
  <c r="P5" i="41" l="1"/>
  <c r="P6" i="41"/>
  <c r="P7" i="41"/>
  <c r="P8" i="41"/>
  <c r="P9" i="41"/>
  <c r="P10" i="41"/>
  <c r="P11" i="41"/>
  <c r="P12" i="41"/>
  <c r="P13" i="41"/>
  <c r="P14" i="41"/>
  <c r="P15" i="41"/>
  <c r="P16" i="41"/>
  <c r="P17" i="41"/>
  <c r="P4" i="41"/>
  <c r="BS4" i="34" l="1"/>
  <c r="K17" i="41"/>
  <c r="R17" i="41" s="1"/>
  <c r="K16" i="41"/>
  <c r="R16" i="41" s="1"/>
  <c r="K15" i="41"/>
  <c r="R15" i="41" s="1"/>
  <c r="K14" i="41"/>
  <c r="R14" i="41" s="1"/>
  <c r="K13" i="41"/>
  <c r="R13" i="41" s="1"/>
  <c r="K12" i="41"/>
  <c r="R12" i="41" s="1"/>
  <c r="K11" i="41"/>
  <c r="R11" i="41" s="1"/>
  <c r="K10" i="41"/>
  <c r="R10" i="41" s="1"/>
  <c r="K9" i="41"/>
  <c r="R9" i="41" s="1"/>
  <c r="K8" i="41"/>
  <c r="R8" i="41" s="1"/>
  <c r="K7" i="41"/>
  <c r="R7" i="41" s="1"/>
  <c r="K6" i="41"/>
  <c r="R6" i="41" s="1"/>
  <c r="K5" i="41"/>
  <c r="R5" i="41" s="1"/>
  <c r="K4" i="41"/>
  <c r="R4" i="41" s="1"/>
  <c r="H7" i="34"/>
  <c r="I7" i="34"/>
  <c r="W7" i="34"/>
  <c r="AF7" i="34"/>
  <c r="H10" i="34"/>
  <c r="I10" i="34"/>
  <c r="W10" i="34"/>
  <c r="AF10" i="34"/>
  <c r="H11" i="34"/>
  <c r="I11" i="34"/>
  <c r="W11" i="34"/>
  <c r="AF11" i="34"/>
  <c r="H13" i="34"/>
  <c r="I13" i="34"/>
  <c r="W13" i="34"/>
  <c r="AF13" i="34"/>
  <c r="I5" i="41"/>
  <c r="I6" i="41"/>
  <c r="I7" i="41"/>
  <c r="X36" i="34" s="1"/>
  <c r="I8" i="41"/>
  <c r="I9" i="41"/>
  <c r="I10" i="41"/>
  <c r="X39" i="34" s="1"/>
  <c r="I11" i="41"/>
  <c r="I12" i="41"/>
  <c r="I13" i="41"/>
  <c r="X42" i="34" s="1"/>
  <c r="I14" i="41"/>
  <c r="I15" i="41"/>
  <c r="I16" i="41"/>
  <c r="I17" i="41"/>
  <c r="G6" i="41"/>
  <c r="G7" i="41"/>
  <c r="G8" i="41"/>
  <c r="G9" i="41"/>
  <c r="G10" i="41"/>
  <c r="G11" i="41"/>
  <c r="G12" i="41"/>
  <c r="G13" i="41"/>
  <c r="G14" i="41"/>
  <c r="G15" i="41"/>
  <c r="G16" i="41"/>
  <c r="G17" i="41"/>
  <c r="G5" i="41"/>
  <c r="J13" i="34" l="1"/>
  <c r="J42" i="34"/>
  <c r="J11" i="34"/>
  <c r="J40" i="34"/>
  <c r="J7" i="34"/>
  <c r="J36" i="34"/>
  <c r="X11" i="34"/>
  <c r="X40" i="34"/>
  <c r="J10" i="34"/>
  <c r="J39" i="34"/>
  <c r="U10" i="41"/>
  <c r="V10" i="41"/>
  <c r="S10" i="41"/>
  <c r="U14" i="41"/>
  <c r="V14" i="41"/>
  <c r="S14" i="41"/>
  <c r="V11" i="41"/>
  <c r="S11" i="41"/>
  <c r="U11" i="41"/>
  <c r="U15" i="41"/>
  <c r="V15" i="41"/>
  <c r="S15" i="41"/>
  <c r="S12" i="41"/>
  <c r="U12" i="41"/>
  <c r="V12" i="41"/>
  <c r="S16" i="41"/>
  <c r="U16" i="41"/>
  <c r="V16" i="41"/>
  <c r="V9" i="41"/>
  <c r="S9" i="41"/>
  <c r="U9" i="41"/>
  <c r="V13" i="41"/>
  <c r="U13" i="41"/>
  <c r="S13" i="41"/>
  <c r="V17" i="41"/>
  <c r="S17" i="41"/>
  <c r="U17" i="41"/>
  <c r="V8" i="41"/>
  <c r="U8" i="41"/>
  <c r="S8" i="41"/>
  <c r="U7" i="41"/>
  <c r="S7" i="41"/>
  <c r="V7" i="41"/>
  <c r="V6" i="41"/>
  <c r="S6" i="41"/>
  <c r="U6" i="41"/>
  <c r="V5" i="41"/>
  <c r="S5" i="41"/>
  <c r="U5" i="41"/>
  <c r="V4" i="41"/>
  <c r="U4" i="41"/>
  <c r="S4" i="41"/>
  <c r="AP42" i="34"/>
  <c r="X7" i="34"/>
  <c r="X13" i="34"/>
  <c r="X10" i="34"/>
  <c r="I4" i="41"/>
  <c r="X33" i="34" s="1"/>
  <c r="AP4" i="34" l="1"/>
  <c r="AP33" i="34"/>
  <c r="AS4" i="34"/>
  <c r="AS33" i="34"/>
  <c r="AQ7" i="34"/>
  <c r="AQ36" i="34"/>
  <c r="AQ13" i="34"/>
  <c r="AQ42" i="34"/>
  <c r="AQ11" i="34"/>
  <c r="AQ40" i="34"/>
  <c r="AR33" i="34"/>
  <c r="AR4" i="34"/>
  <c r="AS7" i="34"/>
  <c r="AS36" i="34"/>
  <c r="AR11" i="34"/>
  <c r="AR40" i="34"/>
  <c r="AR10" i="34"/>
  <c r="AR39" i="34"/>
  <c r="Z39" i="34"/>
  <c r="Y39" i="34"/>
  <c r="AA39" i="34"/>
  <c r="AB39" i="34"/>
  <c r="AP10" i="34"/>
  <c r="AP39" i="34"/>
  <c r="AR7" i="34"/>
  <c r="AR36" i="34"/>
  <c r="AR13" i="34"/>
  <c r="AR42" i="34"/>
  <c r="AS11" i="34"/>
  <c r="AS40" i="34"/>
  <c r="AQ10" i="34"/>
  <c r="AQ39" i="34"/>
  <c r="AP7" i="34"/>
  <c r="AP36" i="34"/>
  <c r="AP11" i="34"/>
  <c r="AP40" i="34"/>
  <c r="AQ4" i="34"/>
  <c r="AQ33" i="34"/>
  <c r="AS13" i="34"/>
  <c r="AS42" i="34"/>
  <c r="AS10" i="34"/>
  <c r="AS39" i="34"/>
  <c r="X12" i="41"/>
  <c r="AC12" i="41" s="1"/>
  <c r="X17" i="41"/>
  <c r="AC17" i="41" s="1"/>
  <c r="X13" i="41"/>
  <c r="AC13" i="41" s="1"/>
  <c r="AP13" i="34"/>
  <c r="X9" i="41"/>
  <c r="AC9" i="41" s="1"/>
  <c r="X11" i="41"/>
  <c r="AC11" i="41" s="1"/>
  <c r="X10" i="41"/>
  <c r="AC10" i="41" s="1"/>
  <c r="X16" i="41"/>
  <c r="AC16" i="41" s="1"/>
  <c r="X15" i="41"/>
  <c r="AC15" i="41" s="1"/>
  <c r="X14" i="41"/>
  <c r="AC14" i="41" s="1"/>
  <c r="X7" i="41"/>
  <c r="AC7" i="41" s="1"/>
  <c r="X6" i="41"/>
  <c r="AC6" i="41" s="1"/>
  <c r="X5" i="41"/>
  <c r="AC5" i="41" s="1"/>
  <c r="X8" i="41"/>
  <c r="AC8" i="41" s="1"/>
  <c r="X4" i="41"/>
  <c r="AC4" i="41" s="1"/>
  <c r="AD39" i="34" l="1"/>
  <c r="AG39" i="34" s="1"/>
  <c r="AC39" i="34"/>
  <c r="AE39" i="34"/>
  <c r="AI39" i="34" s="1"/>
  <c r="AF4" i="34"/>
  <c r="AH39" i="34" l="1"/>
  <c r="AJ39" i="34"/>
  <c r="AY39" i="34"/>
  <c r="BH39" i="34"/>
  <c r="AK39" i="34"/>
  <c r="X4" i="34"/>
  <c r="G4" i="41"/>
  <c r="J33" i="34" s="1"/>
  <c r="I4" i="34"/>
  <c r="BI39" i="34" l="1"/>
  <c r="BJ39" i="34" s="1"/>
  <c r="AZ39" i="34"/>
  <c r="BB39" i="34" s="1"/>
  <c r="Z33" i="34"/>
  <c r="Y33" i="34"/>
  <c r="AA33" i="34"/>
  <c r="AB33" i="34"/>
  <c r="J4" i="34"/>
  <c r="BA39" i="34" l="1"/>
  <c r="BD39" i="34"/>
  <c r="BM39" i="34"/>
  <c r="BN39" i="34"/>
  <c r="BL39" i="34"/>
  <c r="CK39" i="34" s="1"/>
  <c r="BK39" i="34"/>
  <c r="BC39" i="34"/>
  <c r="AE33" i="34"/>
  <c r="AJ33" i="34" s="1"/>
  <c r="AD33" i="34"/>
  <c r="AH33" i="34" s="1"/>
  <c r="AC33" i="34"/>
  <c r="AC16" i="35"/>
  <c r="Z16" i="35"/>
  <c r="AC15" i="35"/>
  <c r="Z15" i="35"/>
  <c r="AC14" i="35"/>
  <c r="Z14" i="35"/>
  <c r="AC13" i="35"/>
  <c r="Z13" i="35"/>
  <c r="AC12" i="35"/>
  <c r="Z12" i="35"/>
  <c r="AC11" i="35"/>
  <c r="Z11" i="35"/>
  <c r="AC10" i="35"/>
  <c r="Z10" i="35"/>
  <c r="AC9" i="35"/>
  <c r="Z9" i="35"/>
  <c r="AC8" i="35"/>
  <c r="Z8" i="35"/>
  <c r="AC7" i="35"/>
  <c r="Z7" i="35"/>
  <c r="AC6" i="35"/>
  <c r="Z6" i="35"/>
  <c r="Z5" i="35"/>
  <c r="AC4" i="35"/>
  <c r="Z4" i="35"/>
  <c r="AC3" i="35"/>
  <c r="Z3" i="35"/>
  <c r="W16" i="35"/>
  <c r="W15" i="35"/>
  <c r="W14" i="35"/>
  <c r="W13" i="35"/>
  <c r="W12" i="35"/>
  <c r="W11" i="35"/>
  <c r="W10" i="35"/>
  <c r="W9" i="35"/>
  <c r="W8" i="35"/>
  <c r="W7" i="35"/>
  <c r="W5" i="35"/>
  <c r="W4" i="35"/>
  <c r="W3" i="35"/>
  <c r="T16" i="35"/>
  <c r="T15" i="35"/>
  <c r="T14" i="35"/>
  <c r="T13" i="35"/>
  <c r="T12" i="35"/>
  <c r="T11" i="35"/>
  <c r="T10" i="35"/>
  <c r="T9" i="35"/>
  <c r="T8" i="35"/>
  <c r="T7" i="35"/>
  <c r="T5" i="35"/>
  <c r="T4" i="35"/>
  <c r="T3" i="35"/>
  <c r="I4" i="35"/>
  <c r="I5" i="35"/>
  <c r="I6" i="35"/>
  <c r="I7" i="35"/>
  <c r="I8" i="35"/>
  <c r="I9" i="35"/>
  <c r="I10" i="35"/>
  <c r="I11" i="35"/>
  <c r="I12" i="35"/>
  <c r="I13" i="35"/>
  <c r="I14" i="35"/>
  <c r="I15" i="35"/>
  <c r="I16" i="35"/>
  <c r="CM39" i="34" l="1"/>
  <c r="BE39" i="34"/>
  <c r="BG39" i="34" s="1"/>
  <c r="CL39" i="34"/>
  <c r="BP39" i="34"/>
  <c r="CB39" i="34" s="1"/>
  <c r="BO39" i="34"/>
  <c r="BQ39" i="34" s="1"/>
  <c r="BF39" i="34"/>
  <c r="BW39" i="34" s="1"/>
  <c r="BX39" i="34" s="1"/>
  <c r="BZ39" i="34" s="1"/>
  <c r="AI33" i="34"/>
  <c r="AZ33" i="34"/>
  <c r="BI33" i="34"/>
  <c r="AG33" i="34"/>
  <c r="W4" i="34"/>
  <c r="C4" i="34"/>
  <c r="C10" i="34"/>
  <c r="CS10" i="34" l="1"/>
  <c r="CR10" i="34"/>
  <c r="CR4" i="34"/>
  <c r="D37" i="44" s="1"/>
  <c r="CS4" i="34"/>
  <c r="D39" i="44"/>
  <c r="BV39" i="34"/>
  <c r="BY39" i="34" s="1"/>
  <c r="CA39" i="34"/>
  <c r="CH39" i="34"/>
  <c r="CI39" i="34"/>
  <c r="C11" i="34"/>
  <c r="C40" i="34"/>
  <c r="E7" i="34"/>
  <c r="C36" i="34"/>
  <c r="E36" i="34" s="1"/>
  <c r="C13" i="34"/>
  <c r="C42" i="34"/>
  <c r="E42" i="34" s="1"/>
  <c r="AK33" i="34"/>
  <c r="AY33" i="34"/>
  <c r="BH33" i="34"/>
  <c r="BB33" i="34"/>
  <c r="BA33" i="34"/>
  <c r="BD33" i="34"/>
  <c r="BC33" i="34"/>
  <c r="CC39" i="34"/>
  <c r="CE39" i="34" s="1"/>
  <c r="CG39" i="34" s="1"/>
  <c r="E4" i="34"/>
  <c r="E35" i="40"/>
  <c r="E10" i="34"/>
  <c r="CS13" i="34" l="1"/>
  <c r="CR13" i="34"/>
  <c r="D41" i="44" s="1"/>
  <c r="E11" i="34"/>
  <c r="Y11" i="34" s="1"/>
  <c r="CR11" i="34"/>
  <c r="CS11" i="34"/>
  <c r="E13" i="34"/>
  <c r="Y13" i="34" s="1"/>
  <c r="C18" i="34"/>
  <c r="G42" i="34"/>
  <c r="K42" i="34"/>
  <c r="Q42" i="34"/>
  <c r="Y42" i="34"/>
  <c r="Z42" i="34"/>
  <c r="E40" i="34"/>
  <c r="C47" i="34"/>
  <c r="G36" i="34"/>
  <c r="K36" i="34"/>
  <c r="Q36" i="34"/>
  <c r="Y36" i="34"/>
  <c r="Z36" i="34"/>
  <c r="BE33" i="34"/>
  <c r="BJ33" i="34"/>
  <c r="BF33" i="34"/>
  <c r="CJ39" i="34"/>
  <c r="CD39" i="34"/>
  <c r="CF39" i="34" s="1"/>
  <c r="K4" i="34"/>
  <c r="G7" i="34"/>
  <c r="K7" i="34"/>
  <c r="Y7" i="34"/>
  <c r="Z7" i="34"/>
  <c r="Q7" i="34"/>
  <c r="Y4" i="34"/>
  <c r="Z4" i="34"/>
  <c r="Q4" i="34"/>
  <c r="G4" i="34"/>
  <c r="L4" i="34" s="1"/>
  <c r="G10" i="34"/>
  <c r="K10" i="34"/>
  <c r="Y10" i="34"/>
  <c r="Z10" i="34"/>
  <c r="Q10" i="34"/>
  <c r="CS18" i="34" l="1"/>
  <c r="B48" i="44" s="1"/>
  <c r="K11" i="34"/>
  <c r="G11" i="34"/>
  <c r="L11" i="34" s="1"/>
  <c r="M11" i="34" s="1"/>
  <c r="Z11" i="34"/>
  <c r="Q11" i="34"/>
  <c r="CR18" i="34"/>
  <c r="D40" i="44"/>
  <c r="D42" i="44" s="1"/>
  <c r="AA11" i="34"/>
  <c r="AD11" i="34" s="1"/>
  <c r="AG11" i="34" s="1"/>
  <c r="K13" i="34"/>
  <c r="G13" i="34"/>
  <c r="Q13" i="34"/>
  <c r="Z13" i="34"/>
  <c r="R11" i="34"/>
  <c r="S11" i="34" s="1"/>
  <c r="T11" i="34" s="1"/>
  <c r="AB11" i="34"/>
  <c r="E18" i="34"/>
  <c r="E47" i="34"/>
  <c r="R36" i="34"/>
  <c r="L36" i="34"/>
  <c r="AB36" i="34"/>
  <c r="AE36" i="34" s="1"/>
  <c r="AJ36" i="34" s="1"/>
  <c r="AA36" i="34"/>
  <c r="Q40" i="34"/>
  <c r="K40" i="34"/>
  <c r="G40" i="34"/>
  <c r="Z40" i="34"/>
  <c r="Y40" i="34"/>
  <c r="L42" i="34"/>
  <c r="R42" i="34"/>
  <c r="AA42" i="34"/>
  <c r="AB42" i="34"/>
  <c r="BM33" i="34"/>
  <c r="BL33" i="34"/>
  <c r="BK33" i="34"/>
  <c r="BN33" i="34"/>
  <c r="BG33" i="34"/>
  <c r="BV33" i="34"/>
  <c r="CO39" i="34"/>
  <c r="CN39" i="34"/>
  <c r="CP39" i="34" s="1"/>
  <c r="BW33" i="34"/>
  <c r="M4" i="34"/>
  <c r="O4" i="34" s="1"/>
  <c r="P4" i="34" s="1"/>
  <c r="Y18" i="34"/>
  <c r="R10" i="34"/>
  <c r="AB10" i="34"/>
  <c r="AA10" i="34"/>
  <c r="L10" i="34"/>
  <c r="AA4" i="34"/>
  <c r="AB4" i="34"/>
  <c r="R4" i="34"/>
  <c r="R7" i="34"/>
  <c r="AB7" i="34"/>
  <c r="L7" i="34"/>
  <c r="AA7" i="34"/>
  <c r="Z18" i="34" l="1"/>
  <c r="Q18" i="34"/>
  <c r="G18" i="34"/>
  <c r="K18" i="34"/>
  <c r="AC11" i="34"/>
  <c r="AE11" i="34"/>
  <c r="C22" i="44" s="1"/>
  <c r="L13" i="34"/>
  <c r="M13" i="34" s="1"/>
  <c r="N13" i="34" s="1"/>
  <c r="AA13" i="34"/>
  <c r="AA18" i="34" s="1"/>
  <c r="R13" i="34"/>
  <c r="S13" i="34" s="1"/>
  <c r="T13" i="34" s="1"/>
  <c r="AB13" i="34"/>
  <c r="AE13" i="34" s="1"/>
  <c r="AI13" i="34" s="1"/>
  <c r="BP33" i="34"/>
  <c r="CI33" i="34" s="1"/>
  <c r="Q47" i="34"/>
  <c r="M42" i="34"/>
  <c r="N42" i="34" s="1"/>
  <c r="AI36" i="34"/>
  <c r="Z47" i="34"/>
  <c r="G47" i="34"/>
  <c r="AE42" i="34"/>
  <c r="AI42" i="34" s="1"/>
  <c r="Y47" i="34"/>
  <c r="K47" i="34"/>
  <c r="AD42" i="34"/>
  <c r="AG42" i="34" s="1"/>
  <c r="AC42" i="34"/>
  <c r="M36" i="34"/>
  <c r="O36" i="34" s="1"/>
  <c r="S42" i="34"/>
  <c r="T42" i="34" s="1"/>
  <c r="L40" i="34"/>
  <c r="R40" i="34"/>
  <c r="AB40" i="34"/>
  <c r="AA40" i="34"/>
  <c r="AD36" i="34"/>
  <c r="AG36" i="34" s="1"/>
  <c r="AC36" i="34"/>
  <c r="S36" i="34"/>
  <c r="T36" i="34" s="1"/>
  <c r="CL33" i="34"/>
  <c r="N11" i="34"/>
  <c r="V11" i="34" s="1"/>
  <c r="CM33" i="34"/>
  <c r="CK33" i="34"/>
  <c r="BX33" i="34"/>
  <c r="BO33" i="34"/>
  <c r="N4" i="34"/>
  <c r="AH11" i="34"/>
  <c r="O11" i="34"/>
  <c r="P11" i="34" s="1"/>
  <c r="AC4" i="34"/>
  <c r="AD4" i="34"/>
  <c r="M10" i="34"/>
  <c r="U11" i="34"/>
  <c r="S7" i="34"/>
  <c r="T7" i="34" s="1"/>
  <c r="S4" i="34"/>
  <c r="U4" i="34" s="1"/>
  <c r="AC10" i="34"/>
  <c r="AD10" i="34"/>
  <c r="AE7" i="34"/>
  <c r="AC7" i="34"/>
  <c r="AD7" i="34"/>
  <c r="C20" i="44" s="1"/>
  <c r="AE4" i="34"/>
  <c r="AE10" i="34"/>
  <c r="M7" i="34"/>
  <c r="S10" i="34"/>
  <c r="T10" i="34" s="1"/>
  <c r="AG10" i="34" l="1"/>
  <c r="C21" i="44"/>
  <c r="AJ4" i="34"/>
  <c r="AI11" i="34"/>
  <c r="BH11" i="34" s="1"/>
  <c r="AI10" i="34"/>
  <c r="AY10" i="34" s="1"/>
  <c r="C30" i="44"/>
  <c r="E30" i="44" s="1"/>
  <c r="AI7" i="34"/>
  <c r="K8" i="44"/>
  <c r="R18" i="34"/>
  <c r="C31" i="44"/>
  <c r="E31" i="44" s="1"/>
  <c r="O13" i="34"/>
  <c r="P13" i="34" s="1"/>
  <c r="U13" i="34"/>
  <c r="L18" i="34"/>
  <c r="AJ11" i="34"/>
  <c r="AZ11" i="34" s="1"/>
  <c r="BC11" i="34" s="1"/>
  <c r="AJ13" i="34"/>
  <c r="AB18" i="34"/>
  <c r="AC13" i="34"/>
  <c r="AD13" i="34"/>
  <c r="V13" i="34"/>
  <c r="AG7" i="34"/>
  <c r="AG4" i="34"/>
  <c r="CB33" i="34"/>
  <c r="CC33" i="34" s="1"/>
  <c r="CE33" i="34" s="1"/>
  <c r="O42" i="34"/>
  <c r="P42" i="34" s="1"/>
  <c r="AJ42" i="34"/>
  <c r="AH36" i="34"/>
  <c r="AD40" i="34"/>
  <c r="AG40" i="34" s="1"/>
  <c r="AC40" i="34"/>
  <c r="U42" i="34"/>
  <c r="AH42" i="34"/>
  <c r="R47" i="34"/>
  <c r="BH36" i="34"/>
  <c r="V42" i="34"/>
  <c r="AE40" i="34"/>
  <c r="AI40" i="34" s="1"/>
  <c r="AB47" i="34"/>
  <c r="L47" i="34"/>
  <c r="U36" i="34"/>
  <c r="AY36" i="34"/>
  <c r="S40" i="34"/>
  <c r="T40" i="34" s="1"/>
  <c r="P36" i="34"/>
  <c r="N36" i="34"/>
  <c r="V36" i="34" s="1"/>
  <c r="AK42" i="34"/>
  <c r="BH42" i="34"/>
  <c r="AY42" i="34"/>
  <c r="AA47" i="34"/>
  <c r="M40" i="34"/>
  <c r="N40" i="34" s="1"/>
  <c r="N7" i="34"/>
  <c r="V7" i="34" s="1"/>
  <c r="CH33" i="34"/>
  <c r="BQ33" i="34"/>
  <c r="CA33" i="34"/>
  <c r="BZ33" i="34"/>
  <c r="BY33" i="34"/>
  <c r="N10" i="34"/>
  <c r="U10" i="34"/>
  <c r="AH10" i="34"/>
  <c r="AH7" i="34"/>
  <c r="AJ7" i="34"/>
  <c r="O10" i="34"/>
  <c r="P10" i="34" s="1"/>
  <c r="O7" i="34"/>
  <c r="P7" i="34" s="1"/>
  <c r="U7" i="34"/>
  <c r="AE18" i="34"/>
  <c r="AI4" i="34"/>
  <c r="M18" i="34"/>
  <c r="S18" i="34"/>
  <c r="T4" i="34"/>
  <c r="AH4" i="34"/>
  <c r="AJ10" i="34"/>
  <c r="C32" i="44" l="1"/>
  <c r="E32" i="44" s="1"/>
  <c r="C23" i="44"/>
  <c r="BH10" i="34"/>
  <c r="AK10" i="34"/>
  <c r="AY11" i="34"/>
  <c r="AK11" i="34"/>
  <c r="BH7" i="34"/>
  <c r="BI11" i="34"/>
  <c r="BJ11" i="34" s="1"/>
  <c r="BN11" i="34" s="1"/>
  <c r="AD18" i="34"/>
  <c r="C24" i="44" s="1"/>
  <c r="AG13" i="34"/>
  <c r="AG18" i="34" s="1"/>
  <c r="AH13" i="34"/>
  <c r="AH18" i="34" s="1"/>
  <c r="AY7" i="34"/>
  <c r="AJ40" i="34"/>
  <c r="AK36" i="34"/>
  <c r="AH40" i="34"/>
  <c r="AH47" i="34" s="1"/>
  <c r="AE47" i="34"/>
  <c r="AD47" i="34"/>
  <c r="U40" i="34"/>
  <c r="U47" i="34" s="1"/>
  <c r="M47" i="34"/>
  <c r="N47" i="34"/>
  <c r="AY40" i="34"/>
  <c r="BH40" i="34"/>
  <c r="AK40" i="34"/>
  <c r="AK7" i="34"/>
  <c r="O40" i="34"/>
  <c r="P40" i="34" s="1"/>
  <c r="V40" i="34"/>
  <c r="AZ42" i="34"/>
  <c r="BI42" i="34"/>
  <c r="BJ42" i="34" s="1"/>
  <c r="AZ36" i="34"/>
  <c r="BI36" i="34"/>
  <c r="BJ36" i="34" s="1"/>
  <c r="S47" i="34"/>
  <c r="CG33" i="34"/>
  <c r="N18" i="34"/>
  <c r="V10" i="34"/>
  <c r="CD33" i="34"/>
  <c r="CJ33" i="34"/>
  <c r="AY4" i="34"/>
  <c r="BA11" i="34"/>
  <c r="BD11" i="34"/>
  <c r="BB11" i="34"/>
  <c r="AZ7" i="34"/>
  <c r="BA7" i="34" s="1"/>
  <c r="AJ18" i="34"/>
  <c r="V4" i="34"/>
  <c r="T18" i="34"/>
  <c r="AZ10" i="34"/>
  <c r="BI10" i="34"/>
  <c r="BH4" i="34"/>
  <c r="AK4" i="34"/>
  <c r="O18" i="34"/>
  <c r="BI7" i="34"/>
  <c r="U18" i="34"/>
  <c r="AZ4" i="34"/>
  <c r="BI4" i="34"/>
  <c r="AI18" i="34"/>
  <c r="K9" i="44" l="1"/>
  <c r="BJ10" i="34"/>
  <c r="BL10" i="34" s="1"/>
  <c r="BJ7" i="34"/>
  <c r="BM7" i="34" s="1"/>
  <c r="BM11" i="34"/>
  <c r="CL11" i="34" s="1"/>
  <c r="BL11" i="34"/>
  <c r="CK11" i="34" s="1"/>
  <c r="BK11" i="34"/>
  <c r="D22" i="44" s="1"/>
  <c r="AZ13" i="34"/>
  <c r="AZ18" i="34" s="1"/>
  <c r="BI13" i="34"/>
  <c r="BI18" i="34" s="1"/>
  <c r="BH13" i="34"/>
  <c r="BH18" i="34" s="1"/>
  <c r="AY13" i="34"/>
  <c r="AY18" i="34" s="1"/>
  <c r="AK13" i="34"/>
  <c r="AZ40" i="34"/>
  <c r="BD40" i="34" s="1"/>
  <c r="BI40" i="34"/>
  <c r="BJ40" i="34" s="1"/>
  <c r="BK40" i="34" s="1"/>
  <c r="O47" i="34"/>
  <c r="BM42" i="34"/>
  <c r="BN42" i="34"/>
  <c r="BK42" i="34"/>
  <c r="BL42" i="34"/>
  <c r="BM36" i="34"/>
  <c r="BN36" i="34"/>
  <c r="BK36" i="34"/>
  <c r="BL36" i="34"/>
  <c r="BA42" i="34"/>
  <c r="BC42" i="34"/>
  <c r="BD42" i="34"/>
  <c r="BB42" i="34"/>
  <c r="AJ47" i="34"/>
  <c r="BC36" i="34"/>
  <c r="BD36" i="34"/>
  <c r="BB36" i="34"/>
  <c r="BA36" i="34"/>
  <c r="T47" i="34"/>
  <c r="BH47" i="34"/>
  <c r="AG47" i="34"/>
  <c r="AI47" i="34"/>
  <c r="CM11" i="34"/>
  <c r="CN33" i="34"/>
  <c r="CO33" i="34"/>
  <c r="CF33" i="34"/>
  <c r="BE11" i="34"/>
  <c r="BG11" i="34" s="1"/>
  <c r="BF11" i="34"/>
  <c r="BW11" i="34" s="1"/>
  <c r="BX11" i="34" s="1"/>
  <c r="BC7" i="34"/>
  <c r="BD7" i="34"/>
  <c r="BB7" i="34"/>
  <c r="BC4" i="34"/>
  <c r="BD4" i="34"/>
  <c r="BB4" i="34"/>
  <c r="BA4" i="34"/>
  <c r="BJ4" i="34"/>
  <c r="BB10" i="34"/>
  <c r="BC10" i="34"/>
  <c r="BA10" i="34"/>
  <c r="BD10" i="34"/>
  <c r="BZ11" i="34" l="1"/>
  <c r="BK10" i="34"/>
  <c r="D21" i="44" s="1"/>
  <c r="BN10" i="34"/>
  <c r="CM10" i="34" s="1"/>
  <c r="BM10" i="34"/>
  <c r="CL10" i="34" s="1"/>
  <c r="BL7" i="34"/>
  <c r="CK7" i="34" s="1"/>
  <c r="BN7" i="34"/>
  <c r="CM7" i="34" s="1"/>
  <c r="BK7" i="34"/>
  <c r="BO11" i="34"/>
  <c r="BQ11" i="34" s="1"/>
  <c r="BP11" i="34"/>
  <c r="CB11" i="34" s="1"/>
  <c r="BC40" i="34"/>
  <c r="BC47" i="34" s="1"/>
  <c r="BJ13" i="34"/>
  <c r="BJ18" i="34" s="1"/>
  <c r="BB13" i="34"/>
  <c r="BB18" i="34" s="1"/>
  <c r="BC13" i="34"/>
  <c r="BC18" i="34" s="1"/>
  <c r="BD13" i="34"/>
  <c r="BD18" i="34" s="1"/>
  <c r="BA13" i="34"/>
  <c r="BB40" i="34"/>
  <c r="BL40" i="34"/>
  <c r="BN40" i="34"/>
  <c r="CM40" i="34" s="1"/>
  <c r="BA40" i="34"/>
  <c r="BM40" i="34"/>
  <c r="BF42" i="34"/>
  <c r="BW42" i="34" s="1"/>
  <c r="BX42" i="34" s="1"/>
  <c r="BZ42" i="34" s="1"/>
  <c r="CL42" i="34"/>
  <c r="CK42" i="34"/>
  <c r="CK36" i="34"/>
  <c r="AY47" i="34"/>
  <c r="CM36" i="34"/>
  <c r="CM42" i="34"/>
  <c r="BE42" i="34"/>
  <c r="CL36" i="34"/>
  <c r="BD47" i="34"/>
  <c r="AZ47" i="34"/>
  <c r="BF36" i="34"/>
  <c r="BW36" i="34" s="1"/>
  <c r="BE36" i="34"/>
  <c r="BI47" i="34"/>
  <c r="BP36" i="34"/>
  <c r="BO36" i="34"/>
  <c r="BP42" i="34"/>
  <c r="BO42" i="34"/>
  <c r="BE7" i="34"/>
  <c r="CP33" i="34"/>
  <c r="BV11" i="34"/>
  <c r="BY11" i="34" s="1"/>
  <c r="BF7" i="34"/>
  <c r="BW7" i="34" s="1"/>
  <c r="BX7" i="34" s="1"/>
  <c r="BE4" i="34"/>
  <c r="BG4" i="34" s="1"/>
  <c r="BF4" i="34"/>
  <c r="BW4" i="34" s="1"/>
  <c r="BF10" i="34"/>
  <c r="BW10" i="34" s="1"/>
  <c r="BX10" i="34" s="1"/>
  <c r="BE10" i="34"/>
  <c r="BG10" i="34" s="1"/>
  <c r="CL7" i="34"/>
  <c r="CK10" i="34"/>
  <c r="BK4" i="34"/>
  <c r="D19" i="44" s="1"/>
  <c r="BL4" i="34"/>
  <c r="BM4" i="34"/>
  <c r="CL4" i="34" s="1"/>
  <c r="BN4" i="34"/>
  <c r="CM4" i="34" s="1"/>
  <c r="BZ10" i="34" l="1"/>
  <c r="BA18" i="34"/>
  <c r="K10" i="44"/>
  <c r="D20" i="44"/>
  <c r="K11" i="44"/>
  <c r="BP10" i="34"/>
  <c r="CB10" i="34" s="1"/>
  <c r="CC10" i="34" s="1"/>
  <c r="CJ10" i="34" s="1"/>
  <c r="BO10" i="34"/>
  <c r="BQ10" i="34" s="1"/>
  <c r="BO7" i="34"/>
  <c r="BQ7" i="34" s="1"/>
  <c r="CI11" i="34"/>
  <c r="BP7" i="34"/>
  <c r="CB7" i="34" s="1"/>
  <c r="CC7" i="34" s="1"/>
  <c r="E20" i="44" s="1"/>
  <c r="CH11" i="34"/>
  <c r="CA11" i="34"/>
  <c r="CL40" i="34"/>
  <c r="CK40" i="34"/>
  <c r="BF13" i="34"/>
  <c r="BW13" i="34" s="1"/>
  <c r="BX13" i="34" s="1"/>
  <c r="BE13" i="34"/>
  <c r="BE18" i="34" s="1"/>
  <c r="BM13" i="34"/>
  <c r="CL13" i="34" s="1"/>
  <c r="CL18" i="34" s="1"/>
  <c r="BK13" i="34"/>
  <c r="BK18" i="34" s="1"/>
  <c r="BN13" i="34"/>
  <c r="CM13" i="34" s="1"/>
  <c r="CM18" i="34" s="1"/>
  <c r="BL13" i="34"/>
  <c r="CK13" i="34" s="1"/>
  <c r="BF40" i="34"/>
  <c r="BW40" i="34" s="1"/>
  <c r="BX40" i="34" s="1"/>
  <c r="BZ40" i="34" s="1"/>
  <c r="BB47" i="34"/>
  <c r="BE40" i="34"/>
  <c r="BG40" i="34" s="1"/>
  <c r="BA47" i="34"/>
  <c r="BP40" i="34"/>
  <c r="CB40" i="34" s="1"/>
  <c r="CC40" i="34" s="1"/>
  <c r="BO40" i="34"/>
  <c r="BQ40" i="34" s="1"/>
  <c r="BQ42" i="34"/>
  <c r="CA42" i="34"/>
  <c r="CH42" i="34"/>
  <c r="BQ36" i="34"/>
  <c r="CA36" i="34"/>
  <c r="CH36" i="34"/>
  <c r="BG36" i="34"/>
  <c r="BV36" i="34"/>
  <c r="CB42" i="34"/>
  <c r="CI42" i="34"/>
  <c r="CB36" i="34"/>
  <c r="CI36" i="34"/>
  <c r="BX36" i="34"/>
  <c r="BZ36" i="34" s="1"/>
  <c r="BV42" i="34"/>
  <c r="BY42" i="34" s="1"/>
  <c r="BG42" i="34"/>
  <c r="BJ47" i="34"/>
  <c r="BG7" i="34"/>
  <c r="BV7" i="34"/>
  <c r="BY7" i="34" s="1"/>
  <c r="BO4" i="34"/>
  <c r="BP4" i="34"/>
  <c r="CI4" i="34" s="1"/>
  <c r="BZ7" i="34"/>
  <c r="BV4" i="34"/>
  <c r="BV10" i="34"/>
  <c r="BY10" i="34" s="1"/>
  <c r="CK4" i="34"/>
  <c r="CC11" i="34"/>
  <c r="E22" i="44" s="1"/>
  <c r="F22" i="44" s="1"/>
  <c r="BX4" i="34"/>
  <c r="E21" i="44" l="1"/>
  <c r="F21" i="44" s="1"/>
  <c r="D23" i="44"/>
  <c r="F20" i="44"/>
  <c r="CH10" i="34"/>
  <c r="CA10" i="34"/>
  <c r="CD10" i="34" s="1"/>
  <c r="CF10" i="34" s="1"/>
  <c r="CA7" i="34"/>
  <c r="CD7" i="34" s="1"/>
  <c r="CF7" i="34" s="1"/>
  <c r="CH7" i="34"/>
  <c r="CI7" i="34"/>
  <c r="CI10" i="34"/>
  <c r="CA40" i="34"/>
  <c r="CD40" i="34" s="1"/>
  <c r="CJ7" i="34"/>
  <c r="CN7" i="34" s="1"/>
  <c r="K12" i="44"/>
  <c r="CK18" i="34"/>
  <c r="BW18" i="34"/>
  <c r="BF18" i="34"/>
  <c r="BL18" i="34"/>
  <c r="B46" i="44" s="1"/>
  <c r="BN18" i="34"/>
  <c r="B47" i="44" s="1"/>
  <c r="BM18" i="34"/>
  <c r="CJ40" i="34"/>
  <c r="CO40" i="34" s="1"/>
  <c r="BP13" i="34"/>
  <c r="BP18" i="34" s="1"/>
  <c r="BG13" i="34"/>
  <c r="BV13" i="34"/>
  <c r="BY13" i="34" s="1"/>
  <c r="BO13" i="34"/>
  <c r="BO18" i="34" s="1"/>
  <c r="D24" i="44"/>
  <c r="BV40" i="34"/>
  <c r="BY40" i="34" s="1"/>
  <c r="CI40" i="34"/>
  <c r="CI47" i="34" s="1"/>
  <c r="CH40" i="34"/>
  <c r="CE40" i="34"/>
  <c r="CG40" i="34" s="1"/>
  <c r="BY36" i="34"/>
  <c r="BE47" i="34"/>
  <c r="CM47" i="34"/>
  <c r="BN47" i="34"/>
  <c r="CC36" i="34"/>
  <c r="CJ36" i="34" s="1"/>
  <c r="BF47" i="34"/>
  <c r="CL47" i="34"/>
  <c r="BM47" i="34"/>
  <c r="CK47" i="34"/>
  <c r="BL47" i="34"/>
  <c r="CC42" i="34"/>
  <c r="CJ42" i="34" s="1"/>
  <c r="BK47" i="34"/>
  <c r="BQ4" i="34"/>
  <c r="CH4" i="34"/>
  <c r="CB4" i="34"/>
  <c r="CC4" i="34" s="1"/>
  <c r="E19" i="44" s="1"/>
  <c r="F19" i="44" s="1"/>
  <c r="BX18" i="34"/>
  <c r="BZ13" i="34"/>
  <c r="CE10" i="34"/>
  <c r="CG10" i="34" s="1"/>
  <c r="CE7" i="34"/>
  <c r="CG7" i="34" s="1"/>
  <c r="BY4" i="34"/>
  <c r="CN10" i="34"/>
  <c r="CO10" i="34"/>
  <c r="CA4" i="34"/>
  <c r="CJ11" i="34"/>
  <c r="CD11" i="34"/>
  <c r="CF11" i="34" s="1"/>
  <c r="BZ4" i="34"/>
  <c r="CE11" i="34"/>
  <c r="CG11" i="34" s="1"/>
  <c r="CO7" i="34" l="1"/>
  <c r="CN40" i="34"/>
  <c r="CF40" i="34"/>
  <c r="BV18" i="34"/>
  <c r="BQ13" i="34"/>
  <c r="CH13" i="34"/>
  <c r="CH18" i="34" s="1"/>
  <c r="CA13" i="34"/>
  <c r="CA18" i="34" s="1"/>
  <c r="CB13" i="34"/>
  <c r="CC13" i="34" s="1"/>
  <c r="CI13" i="34"/>
  <c r="CI18" i="34" s="1"/>
  <c r="BP47" i="34"/>
  <c r="CE42" i="34"/>
  <c r="CG42" i="34" s="1"/>
  <c r="CD42" i="34"/>
  <c r="CF42" i="34" s="1"/>
  <c r="CD36" i="34"/>
  <c r="CF36" i="34" s="1"/>
  <c r="CN42" i="34"/>
  <c r="CO42" i="34"/>
  <c r="BX47" i="34"/>
  <c r="BW47" i="34"/>
  <c r="CE36" i="34"/>
  <c r="CG36" i="34" s="1"/>
  <c r="CO36" i="34"/>
  <c r="CN36" i="34"/>
  <c r="BO47" i="34"/>
  <c r="CH47" i="34"/>
  <c r="BV47" i="34"/>
  <c r="CP10" i="34"/>
  <c r="CP7" i="34"/>
  <c r="CJ4" i="34"/>
  <c r="BY18" i="34"/>
  <c r="BZ18" i="34"/>
  <c r="CN11" i="34"/>
  <c r="CP11" i="34" s="1"/>
  <c r="CO11" i="34"/>
  <c r="CE4" i="34"/>
  <c r="CD4" i="34"/>
  <c r="CC18" i="34" l="1"/>
  <c r="E24" i="44" s="1"/>
  <c r="E23" i="44"/>
  <c r="F23" i="44" s="1"/>
  <c r="CB18" i="34"/>
  <c r="CP40" i="34"/>
  <c r="CD13" i="34"/>
  <c r="CF13" i="34" s="1"/>
  <c r="CE13" i="34"/>
  <c r="CG13" i="34" s="1"/>
  <c r="CJ13" i="34"/>
  <c r="CJ18" i="34" s="1"/>
  <c r="F24" i="44"/>
  <c r="CB47" i="34"/>
  <c r="BY47" i="34"/>
  <c r="CP42" i="34"/>
  <c r="CP36" i="34"/>
  <c r="CA47" i="34"/>
  <c r="BZ47" i="34"/>
  <c r="CC47" i="34"/>
  <c r="CG4" i="34"/>
  <c r="CN4" i="34"/>
  <c r="CO4" i="34"/>
  <c r="CF4" i="34"/>
  <c r="CE18" i="34" l="1"/>
  <c r="CG18" i="34" s="1"/>
  <c r="CD18" i="34"/>
  <c r="CF18" i="34" s="1"/>
  <c r="CO13" i="34"/>
  <c r="CN13" i="34"/>
  <c r="CP13" i="34" s="1"/>
  <c r="CJ47" i="34"/>
  <c r="CD47" i="34"/>
  <c r="CF47" i="34" s="1"/>
  <c r="CE47" i="34"/>
  <c r="CG47" i="34" s="1"/>
  <c r="CP4" i="34"/>
  <c r="CN18" i="34"/>
  <c r="CO18" i="34"/>
  <c r="C14" i="44" s="1"/>
  <c r="CO47" i="34" l="1"/>
  <c r="CN47" i="34"/>
  <c r="B14" i="44" l="1"/>
  <c r="D14" i="44" l="1"/>
</calcChain>
</file>

<file path=xl/comments1.xml><?xml version="1.0" encoding="utf-8"?>
<comments xmlns="http://schemas.openxmlformats.org/spreadsheetml/2006/main">
  <authors>
    <author>Zaera Garcia, Fernando</author>
  </authors>
  <commentList>
    <comment ref="D2" authorId="0" shapeId="0">
      <text>
        <r>
          <rPr>
            <b/>
            <sz val="9"/>
            <color indexed="81"/>
            <rFont val="Tahoma"/>
            <family val="2"/>
          </rPr>
          <t>N total/animal
Valors revisats a la versió 1.6</t>
        </r>
        <r>
          <rPr>
            <sz val="9"/>
            <color indexed="81"/>
            <rFont val="Tahoma"/>
            <family val="2"/>
          </rPr>
          <t xml:space="preserve">
</t>
        </r>
      </text>
    </comment>
    <comment ref="E2" authorId="0" shapeId="0">
      <text>
        <r>
          <rPr>
            <b/>
            <sz val="9"/>
            <color indexed="81"/>
            <rFont val="Tahoma"/>
            <family val="2"/>
          </rPr>
          <t>N total de cada espècie</t>
        </r>
        <r>
          <rPr>
            <sz val="9"/>
            <color indexed="81"/>
            <rFont val="Tahoma"/>
            <family val="2"/>
          </rPr>
          <t xml:space="preserve">
</t>
        </r>
      </text>
    </comment>
    <comment ref="F2" authorId="0" shapeId="0">
      <text>
        <r>
          <rPr>
            <b/>
            <sz val="9"/>
            <color indexed="81"/>
            <rFont val="Tahoma"/>
            <family val="2"/>
          </rPr>
          <t>%de TAN
Valors revisats a la versió 1.6</t>
        </r>
      </text>
    </comment>
    <comment ref="G2" authorId="0" shapeId="0">
      <text>
        <r>
          <rPr>
            <b/>
            <sz val="9"/>
            <color indexed="81"/>
            <rFont val="Tahoma"/>
            <family val="2"/>
          </rPr>
          <t>TAN total</t>
        </r>
        <r>
          <rPr>
            <sz val="9"/>
            <color indexed="81"/>
            <rFont val="Tahoma"/>
            <family val="2"/>
          </rPr>
          <t xml:space="preserve">
</t>
        </r>
      </text>
    </comment>
    <comment ref="AE2" authorId="0" shapeId="0">
      <text>
        <r>
          <rPr>
            <b/>
            <sz val="9"/>
            <color indexed="81"/>
            <rFont val="Tahoma"/>
            <family val="2"/>
          </rPr>
          <t>FZ multiplica el TAN_BUILD_slurry x FE corregit</t>
        </r>
        <r>
          <rPr>
            <sz val="9"/>
            <color indexed="81"/>
            <rFont val="Tahoma"/>
            <family val="2"/>
          </rPr>
          <t xml:space="preserve"> tenint en compte les tècniques escollides</t>
        </r>
      </text>
    </comment>
  </commentList>
</comments>
</file>

<file path=xl/comments2.xml><?xml version="1.0" encoding="utf-8"?>
<comments xmlns="http://schemas.openxmlformats.org/spreadsheetml/2006/main">
  <authors>
    <author>Zaera Garcia, Fernando</author>
  </authors>
  <commentList>
    <comment ref="AL1" authorId="0" shapeId="0">
      <text>
        <r>
          <rPr>
            <b/>
            <sz val="9"/>
            <color indexed="81"/>
            <rFont val="Tahoma"/>
            <family val="2"/>
          </rPr>
          <t>EMEP 2019 Tier 1</t>
        </r>
        <r>
          <rPr>
            <sz val="9"/>
            <color indexed="81"/>
            <rFont val="Tahoma"/>
            <family val="2"/>
          </rPr>
          <t xml:space="preserve">
Per a la resta de categories s'extrapolen els FE igual que amb l'NH3.
</t>
        </r>
      </text>
    </comment>
  </commentList>
</comments>
</file>

<file path=xl/sharedStrings.xml><?xml version="1.0" encoding="utf-8"?>
<sst xmlns="http://schemas.openxmlformats.org/spreadsheetml/2006/main" count="1117" uniqueCount="460">
  <si>
    <t>BUILD</t>
  </si>
  <si>
    <t>GRAZING</t>
  </si>
  <si>
    <t>CHECK</t>
  </si>
  <si>
    <t>Reproductoras en reposo 1ª vez</t>
  </si>
  <si>
    <t>Reproductoras criando</t>
  </si>
  <si>
    <t>Reproductora en 1ª gestación</t>
  </si>
  <si>
    <t>Verracos jóvenes</t>
  </si>
  <si>
    <t>Cerdo &gt; 110 kg</t>
  </si>
  <si>
    <t>Cerdo 50-79 kg</t>
  </si>
  <si>
    <t>Cerdo 20-49 kg</t>
  </si>
  <si>
    <t>Reproductoras en reposo</t>
  </si>
  <si>
    <t>Reproductoras criando por 1ª vez</t>
  </si>
  <si>
    <t>SÍ</t>
  </si>
  <si>
    <t>SÍ / NO</t>
  </si>
  <si>
    <t>NO</t>
  </si>
  <si>
    <t>Kg N</t>
  </si>
  <si>
    <t>CAT_AA</t>
  </si>
  <si>
    <t>N_AA</t>
  </si>
  <si>
    <t>x_YARD</t>
  </si>
  <si>
    <t>x_BUILD</t>
  </si>
  <si>
    <t>x_GRAZ</t>
  </si>
  <si>
    <t>N_GRAZ</t>
  </si>
  <si>
    <t>TAN_GRAZ</t>
  </si>
  <si>
    <t>CERDO</t>
  </si>
  <si>
    <t>kg N</t>
  </si>
  <si>
    <t>EE_GRAZ</t>
  </si>
  <si>
    <t>kg  N-NH3</t>
  </si>
  <si>
    <t>Kg N-NH3</t>
  </si>
  <si>
    <t>FE_BUILD_solid</t>
  </si>
  <si>
    <t>FE_BUILD_slurry</t>
  </si>
  <si>
    <t>CAT_EMEP</t>
  </si>
  <si>
    <t>&lt; 8 kg</t>
  </si>
  <si>
    <t>&gt; 8 kg</t>
  </si>
  <si>
    <t>FE_STORAGE_solid</t>
  </si>
  <si>
    <t>FE_STORAGE_slurry</t>
  </si>
  <si>
    <t>FEc_BUILD_solid</t>
  </si>
  <si>
    <t>FEc_BUILD_slurry</t>
  </si>
  <si>
    <t>FR_STORAGE_solid</t>
  </si>
  <si>
    <t>FEc_STORAGE_solid</t>
  </si>
  <si>
    <t>FR_STORAGE_slurry</t>
  </si>
  <si>
    <t>FEc_STORAGE_slurry</t>
  </si>
  <si>
    <t>FE_APPLIED_solid</t>
  </si>
  <si>
    <t>FR_APPLIED_solid</t>
  </si>
  <si>
    <t>FEc_APPLIED_solid</t>
  </si>
  <si>
    <t>FE_APPLIED_slurry</t>
  </si>
  <si>
    <t>FR_APPLIED_slurry</t>
  </si>
  <si>
    <t>FEc_APPLIED_slurry</t>
  </si>
  <si>
    <t>x_TAN-T</t>
  </si>
  <si>
    <t>kg N-TAN</t>
  </si>
  <si>
    <t>N_ret_GRAZ</t>
  </si>
  <si>
    <t>N2O</t>
  </si>
  <si>
    <t>N2</t>
  </si>
  <si>
    <t>N excreted</t>
  </si>
  <si>
    <t>SPECIE</t>
  </si>
  <si>
    <t>CHECK-2</t>
  </si>
  <si>
    <t>Nex_T / AA</t>
  </si>
  <si>
    <t>Nex_T</t>
  </si>
  <si>
    <t>kg N-TAN/AA</t>
  </si>
  <si>
    <t>X_BUILD_solid</t>
  </si>
  <si>
    <t>X_BUILD_slurry</t>
  </si>
  <si>
    <t>N_BUILD_solid</t>
  </si>
  <si>
    <t>N_BUILD_slurry</t>
  </si>
  <si>
    <t>TAN_BUILD_solid</t>
  </si>
  <si>
    <t>TAN_BUILD_slurry</t>
  </si>
  <si>
    <t>BUILD-solid</t>
  </si>
  <si>
    <t>BUILD_slurry</t>
  </si>
  <si>
    <t>EE_BUILD_solid</t>
  </si>
  <si>
    <t>EE_BUILD_slurry</t>
  </si>
  <si>
    <t>kg N / AA</t>
  </si>
  <si>
    <t xml:space="preserve">N_exBUILD_solid </t>
  </si>
  <si>
    <t>TAN_exBUILD_solid</t>
  </si>
  <si>
    <t>x_exBUILD_solid-to-FIELD_solid</t>
  </si>
  <si>
    <t>DISTRIBUTION_exBUILD_solid</t>
  </si>
  <si>
    <t>N Distribution</t>
  </si>
  <si>
    <t>DISTRIBUTION_BUILD_slurry</t>
  </si>
  <si>
    <t>x_BUILD_slurry-to-FIELD_solid</t>
  </si>
  <si>
    <t>x_exBUILD_solid-to-STORE_solid</t>
  </si>
  <si>
    <t>x_BUILD_slurry-to-STORE_solid</t>
  </si>
  <si>
    <t>N_STORE_solid</t>
  </si>
  <si>
    <t>TAN_STORE_solid</t>
  </si>
  <si>
    <t>EE_NH3_STORE_solid</t>
  </si>
  <si>
    <t>EE_N2O_STORE_solid</t>
  </si>
  <si>
    <t>EE_N2_STORE_solid</t>
  </si>
  <si>
    <t>x_exBUILD_solid-to-STORE_slurry</t>
  </si>
  <si>
    <t>x_BUILD_slurry-to-STORE_slurry</t>
  </si>
  <si>
    <t>N_STORE_slurry</t>
  </si>
  <si>
    <t>TAN_STORE_slurry</t>
  </si>
  <si>
    <t>minTAN_STORE_slurry</t>
  </si>
  <si>
    <t>EE_NH3_STORE_slurry</t>
  </si>
  <si>
    <t>N_FIELD_solid</t>
  </si>
  <si>
    <t>TAN_FIELD_solid</t>
  </si>
  <si>
    <t>EE_FIELD_solid</t>
  </si>
  <si>
    <t>N_FIELD_slurry</t>
  </si>
  <si>
    <t>TAN_FIELD_slurry</t>
  </si>
  <si>
    <t>EE_FIELD_slurry</t>
  </si>
  <si>
    <t>EE_N2O_STORE_slurry</t>
  </si>
  <si>
    <t>EE_N2_STORE_slurry</t>
  </si>
  <si>
    <t>N_OTHERS_solid</t>
  </si>
  <si>
    <t>N_ret_YARD</t>
  </si>
  <si>
    <t>N_ret_STORE_solid</t>
  </si>
  <si>
    <t>N_ret_STORE_slurry</t>
  </si>
  <si>
    <t>OTHERS</t>
  </si>
  <si>
    <t>STORAGE_solid</t>
  </si>
  <si>
    <t>STORAGE_slurry</t>
  </si>
  <si>
    <t>APPLIED_ solid</t>
  </si>
  <si>
    <t>APPLIED_slurry</t>
  </si>
  <si>
    <t>x_BUILD_slurry-to-FIELD_slurry</t>
  </si>
  <si>
    <t>TAN_total</t>
  </si>
  <si>
    <t>x_STORE_solid-to-FIELD_solid</t>
  </si>
  <si>
    <t>x_STORE_slurry-to-FIELD_slurry</t>
  </si>
  <si>
    <t>kg N-NH3</t>
  </si>
  <si>
    <t>kg  N2O</t>
  </si>
  <si>
    <t>kg  N2</t>
  </si>
  <si>
    <t>FE_GRAZING</t>
  </si>
  <si>
    <t>FR_GRAZING</t>
  </si>
  <si>
    <t>Fec_GRAZING</t>
  </si>
  <si>
    <t>YARD_solid+slurry</t>
  </si>
  <si>
    <t>FE_YARD_solid+slurry</t>
  </si>
  <si>
    <t>FR_YARD_solid+slurry</t>
  </si>
  <si>
    <t>Fec_YARD_solid+slury</t>
  </si>
  <si>
    <t>x_exBUILD_solid-to-OTHERS</t>
  </si>
  <si>
    <t>N_ret_BUILD_solid</t>
  </si>
  <si>
    <t>N_ret_BUILD_slurry</t>
  </si>
  <si>
    <t>x_exBUILD_solid-to-OTHER</t>
  </si>
  <si>
    <t>x_BUILD_slurry-to-OTHERS</t>
  </si>
  <si>
    <t>EE_YARD_solid+slurry</t>
  </si>
  <si>
    <t>N_YARD_solid+slurry</t>
  </si>
  <si>
    <t>TAN_YARD_solid+slurry</t>
  </si>
  <si>
    <t>x_YARD-to-STORE_solid</t>
  </si>
  <si>
    <t>DISTRIBUCION_YARD_solid+slurry (=YARD)</t>
  </si>
  <si>
    <t>x_YARD-to-STORE_slurry</t>
  </si>
  <si>
    <t>x_YARD-to-FIELD_solid</t>
  </si>
  <si>
    <t>x_YARD-to-OTHERS</t>
  </si>
  <si>
    <t>N_ex_BUILD_slurry</t>
  </si>
  <si>
    <t>TAN_ret_BUILD_slurry</t>
  </si>
  <si>
    <t>TAN_ex_BUILD_slurry</t>
  </si>
  <si>
    <t>TAN_ret_BUILD_solid</t>
  </si>
  <si>
    <t>TAN_GRAZING_solid+slurry</t>
  </si>
  <si>
    <t>TAN_ret_STORE_solid</t>
  </si>
  <si>
    <t>TAN_ex_STORE_solid</t>
  </si>
  <si>
    <t>STORE_solid (kg N)</t>
  </si>
  <si>
    <t>N_ex_STORE_solid</t>
  </si>
  <si>
    <t>kg N2O</t>
  </si>
  <si>
    <t>kg N2</t>
  </si>
  <si>
    <t>kg NO</t>
  </si>
  <si>
    <t>STORE_slurry  (kg N)</t>
  </si>
  <si>
    <t>N_ex_STORE_slurry</t>
  </si>
  <si>
    <t>x_STORE_slurry-to-OTHERS</t>
  </si>
  <si>
    <t>DISTRIBUCION_STORE_solid</t>
  </si>
  <si>
    <t>DISTRIBUCION_STORE_slurry</t>
  </si>
  <si>
    <t>FIELD_solid</t>
  </si>
  <si>
    <t xml:space="preserve">kg N </t>
  </si>
  <si>
    <t>kg</t>
  </si>
  <si>
    <t>FIELD_slurry</t>
  </si>
  <si>
    <t>TAN_ret_STORE_slurry</t>
  </si>
  <si>
    <t>TAN_ex_STORE_slurry</t>
  </si>
  <si>
    <t>N_ret_FIELD_solid</t>
  </si>
  <si>
    <t>N_ex_FIELD_solid</t>
  </si>
  <si>
    <t>TAN_ret_FIELD_solid</t>
  </si>
  <si>
    <t>TAN_ex_FIELD_solid</t>
  </si>
  <si>
    <t>N_ret_FIELD_slurry</t>
  </si>
  <si>
    <t>N_ex_SFIELD_slurry</t>
  </si>
  <si>
    <t>TAN_ret_FIELD_slurry</t>
  </si>
  <si>
    <t>TAN_ex_FIELD_slurry</t>
  </si>
  <si>
    <t>FIELD TOTAL</t>
  </si>
  <si>
    <t>N_ret_FIELD_total</t>
  </si>
  <si>
    <t>N_ex_SFIELD_total</t>
  </si>
  <si>
    <t>TAN_ret_FIELD_total</t>
  </si>
  <si>
    <t>TAN_ex_FIELD_total</t>
  </si>
  <si>
    <t>EE N-N2</t>
  </si>
  <si>
    <t>EE N-N2O</t>
  </si>
  <si>
    <t>EE-NH3</t>
  </si>
  <si>
    <t>EE N-TOTAL</t>
  </si>
  <si>
    <t>kg NH3</t>
  </si>
  <si>
    <t>TAN-T</t>
  </si>
  <si>
    <t>CHECK-1</t>
  </si>
  <si>
    <t>CHECK-3</t>
  </si>
  <si>
    <t>CHECK-4</t>
  </si>
  <si>
    <t>CHECK-5</t>
  </si>
  <si>
    <t>CHECK-6</t>
  </si>
  <si>
    <t>DISTRIBUTION_BUILD</t>
  </si>
  <si>
    <t>DISTRIBUTION_Excrete</t>
  </si>
  <si>
    <t>N_Straw</t>
  </si>
  <si>
    <t>DISTRIBUTION_YARD_solid+slurry</t>
  </si>
  <si>
    <t>DISTRIBUTION_STORE_solid</t>
  </si>
  <si>
    <t>DISTRIBUTION_STORE_slurry</t>
  </si>
  <si>
    <t>x_STORE_solid-to-OTHERS</t>
  </si>
  <si>
    <t>STRAW_exBUILD_solid  (kgN)</t>
  </si>
  <si>
    <t>N_STRAW</t>
  </si>
  <si>
    <t>EE N-NH3 TOTAL</t>
  </si>
  <si>
    <t>(PM=17)</t>
  </si>
  <si>
    <t>TOTALS</t>
  </si>
  <si>
    <t>nº animals</t>
  </si>
  <si>
    <t>Separ. S-L</t>
  </si>
  <si>
    <t>x_exBUILD_slurry-to-STORE</t>
  </si>
  <si>
    <t>DISTRIBUTION_exBUILD_slurry</t>
  </si>
  <si>
    <t>x_exBUILD_slurry-to-FIELD</t>
  </si>
  <si>
    <t>x_exBUILD_slurry-to-STORE_solid</t>
  </si>
  <si>
    <t>x_exBUILD_slurry-to-STORE_slurry</t>
  </si>
  <si>
    <t>x_exBUILD_slurry-to-FIELD_solid</t>
  </si>
  <si>
    <t>x_exBUILD_slurry-to-FIELD_slurry</t>
  </si>
  <si>
    <t>x_exBUILD_slurry-to-OTHERS</t>
  </si>
  <si>
    <t>Coef. Reducción</t>
  </si>
  <si>
    <t>F.R.</t>
  </si>
  <si>
    <t>FR1_BUILD_solid</t>
  </si>
  <si>
    <t>FR2_BUILD_solid</t>
  </si>
  <si>
    <t>NH3 REDUCTIONS AND EMISSION FACTORS ACCORDING TO MANAGEMENT TECHNIQUES</t>
  </si>
  <si>
    <t>STORE</t>
  </si>
  <si>
    <t>APPLIED</t>
  </si>
  <si>
    <t>EE N-NOx</t>
  </si>
  <si>
    <t>(PM=44)</t>
  </si>
  <si>
    <t>(PM=28)</t>
  </si>
  <si>
    <t>(PM=46)</t>
  </si>
  <si>
    <t>EE_NOx_STORE_solid</t>
  </si>
  <si>
    <t>EE_NOx_STORE_slurry</t>
  </si>
  <si>
    <t>kg  NOx</t>
  </si>
  <si>
    <t>kg N/AA</t>
  </si>
  <si>
    <t>Mascles</t>
  </si>
  <si>
    <t>Engreix</t>
  </si>
  <si>
    <t>Engraellat total</t>
  </si>
  <si>
    <t>Engraellat parcial i fossa reduïda</t>
  </si>
  <si>
    <t>Engraellat parcial i rentat a pressió</t>
  </si>
  <si>
    <t>Engraellat parcial i acidificació</t>
  </si>
  <si>
    <t>Engraellat parcial i refrigeració</t>
  </si>
  <si>
    <t>Engraellat parcial i parets inclinades</t>
  </si>
  <si>
    <t>Engraellat parcial i canals d'aigua i purí</t>
  </si>
  <si>
    <t>Engraellat parcial i cinta en V</t>
  </si>
  <si>
    <t>Retirada poc freqüent: menys de 2 cops/setmana</t>
  </si>
  <si>
    <t>Retirada al menys 2 cops/setmana, amb sistema de buit</t>
  </si>
  <si>
    <t>Retirada al menys 2 cops/setmana, amb rentat a pressió</t>
  </si>
  <si>
    <t>Canals d'aigua i purí</t>
  </si>
  <si>
    <t>FASE 1B. EVACUACIÓ DE PURINS</t>
  </si>
  <si>
    <t>Coef. Reducció</t>
  </si>
  <si>
    <t>Emmagatzematge sense cobrir i sense crosta</t>
  </si>
  <si>
    <t>Crosta natural / Materials flotants (palla)</t>
  </si>
  <si>
    <t>Cobertes rígides/flexibles</t>
  </si>
  <si>
    <t>Acidificació del purí</t>
  </si>
  <si>
    <t>Làmina de plàstic flexible</t>
  </si>
  <si>
    <t>Refrigeració de la superfície del purí</t>
  </si>
  <si>
    <t>Sistema de depuració d'aire</t>
  </si>
  <si>
    <t>Bossa de fems</t>
  </si>
  <si>
    <t>Distribució en ventall</t>
  </si>
  <si>
    <t>Injecció superficial</t>
  </si>
  <si>
    <t>Dilució purins i reg a baixa pressió</t>
  </si>
  <si>
    <t>EVACUACIÓ DE PURINS</t>
  </si>
  <si>
    <t>ALLOTJAMENT D'ANIMALS</t>
  </si>
  <si>
    <t>CATEGORIES PRODUCTIVES</t>
  </si>
  <si>
    <t>DESTÍ DELS PURINS A LA SORTIDA DE L'ALLOTJAMENT</t>
  </si>
  <si>
    <t>a)</t>
  </si>
  <si>
    <t>a) i b)</t>
  </si>
  <si>
    <t>A emmagatzematge</t>
  </si>
  <si>
    <t>Al camp o terreny agrícola</t>
  </si>
  <si>
    <t>A d'altres usos no agraris</t>
  </si>
  <si>
    <t>EMMAGATZEMATGE 
DELS PURINS</t>
  </si>
  <si>
    <t>DESTINACIÓ DELS PURINS DESPRÉS DE L'EMMAGATZEMATGE</t>
  </si>
  <si>
    <t>Líquids</t>
  </si>
  <si>
    <t>Sòlids</t>
  </si>
  <si>
    <t>APLICACIÓ DE 
PURINS AL CAMP</t>
  </si>
  <si>
    <t>MTD 23</t>
  </si>
  <si>
    <r>
      <t>NH</t>
    </r>
    <r>
      <rPr>
        <b/>
        <vertAlign val="subscript"/>
        <sz val="10"/>
        <color theme="0"/>
        <rFont val="Calibri"/>
        <family val="2"/>
        <scheme val="minor"/>
      </rPr>
      <t>3</t>
    </r>
    <r>
      <rPr>
        <b/>
        <sz val="10"/>
        <color theme="0"/>
        <rFont val="Calibri"/>
        <family val="2"/>
        <scheme val="minor"/>
      </rPr>
      <t xml:space="preserve">  total</t>
    </r>
  </si>
  <si>
    <t>Reducció de les emissions d'amoníac a tot el procés</t>
  </si>
  <si>
    <r>
      <t>NH</t>
    </r>
    <r>
      <rPr>
        <vertAlign val="subscript"/>
        <sz val="10"/>
        <color theme="0"/>
        <rFont val="Calibri"/>
        <family val="2"/>
        <scheme val="minor"/>
      </rPr>
      <t>3</t>
    </r>
    <r>
      <rPr>
        <sz val="10"/>
        <color theme="0"/>
        <rFont val="Calibri"/>
        <family val="2"/>
        <scheme val="minor"/>
      </rPr>
      <t xml:space="preserve">  aplicació al camp</t>
    </r>
  </si>
  <si>
    <t>Marca Oficial:</t>
  </si>
  <si>
    <t>MTD 25</t>
  </si>
  <si>
    <t>Supervisió emissió amoníac</t>
  </si>
  <si>
    <t>total kg NH3 explotació</t>
  </si>
  <si>
    <t>Categoria</t>
  </si>
  <si>
    <t>Mares</t>
  </si>
  <si>
    <t>Transició</t>
  </si>
  <si>
    <t>Supervisió dels Nivells d'Emissió Associats (NEA) a les MTD</t>
  </si>
  <si>
    <r>
      <t xml:space="preserve">0.03 - </t>
    </r>
    <r>
      <rPr>
        <b/>
        <sz val="11"/>
        <color theme="1"/>
        <rFont val="Calibri"/>
        <family val="2"/>
        <scheme val="minor"/>
      </rPr>
      <t>0.53</t>
    </r>
  </si>
  <si>
    <r>
      <t xml:space="preserve">0.1 - </t>
    </r>
    <r>
      <rPr>
        <b/>
        <sz val="11"/>
        <color theme="1"/>
        <rFont val="Calibri"/>
        <family val="2"/>
        <scheme val="minor"/>
      </rPr>
      <t>2.6</t>
    </r>
  </si>
  <si>
    <r>
      <t xml:space="preserve">0.4 - </t>
    </r>
    <r>
      <rPr>
        <b/>
        <sz val="11"/>
        <color theme="1"/>
        <rFont val="Calibri"/>
        <family val="2"/>
        <scheme val="minor"/>
      </rPr>
      <t>5.6</t>
    </r>
  </si>
  <si>
    <t>Comprovació</t>
  </si>
  <si>
    <r>
      <t xml:space="preserve">Interval naus
NEA-MTD
</t>
    </r>
    <r>
      <rPr>
        <sz val="8"/>
        <color theme="1"/>
        <rFont val="Calibri"/>
        <family val="2"/>
        <scheme val="minor"/>
      </rPr>
      <t>kg NH3/plaça i any</t>
    </r>
  </si>
  <si>
    <r>
      <t xml:space="preserve">Emissions naus
</t>
    </r>
    <r>
      <rPr>
        <sz val="8"/>
        <color theme="1"/>
        <rFont val="Calibri"/>
        <family val="2"/>
        <scheme val="minor"/>
      </rPr>
      <t>kg NH</t>
    </r>
    <r>
      <rPr>
        <vertAlign val="subscript"/>
        <sz val="8"/>
        <color theme="1"/>
        <rFont val="Calibri"/>
        <family val="2"/>
        <scheme val="minor"/>
      </rPr>
      <t>3</t>
    </r>
    <r>
      <rPr>
        <sz val="8"/>
        <color theme="1"/>
        <rFont val="Calibri"/>
        <family val="2"/>
        <scheme val="minor"/>
      </rPr>
      <t>/plaça i any</t>
    </r>
  </si>
  <si>
    <t>Injecció profunda (5-10 cm)</t>
  </si>
  <si>
    <t>Escampador en bandes: Tubs penjants</t>
  </si>
  <si>
    <t>Escampador en bandes: Falques metàl·liques</t>
  </si>
  <si>
    <t>NÚM. PLACES/ANY (cens mitjà)</t>
  </si>
  <si>
    <t>Dades de l'any:</t>
  </si>
  <si>
    <t>Nom explotació:</t>
  </si>
  <si>
    <t>Titular:</t>
  </si>
  <si>
    <t>SEPARACIÓ SÓLID-LÍQUID</t>
  </si>
  <si>
    <t>TOTAL PLACES</t>
  </si>
  <si>
    <t>IDQA:</t>
  </si>
  <si>
    <t>Emissions kg NH3 pitjor escenari (A)</t>
  </si>
  <si>
    <t>Emissions kg NH3 explotació (B)</t>
  </si>
  <si>
    <r>
      <t xml:space="preserve">Reducció kg NH3
</t>
    </r>
    <r>
      <rPr>
        <sz val="12"/>
        <color theme="1"/>
        <rFont val="Calibri"/>
        <family val="2"/>
        <scheme val="minor"/>
      </rPr>
      <t>(A-B)</t>
    </r>
  </si>
  <si>
    <t>Es mostren les emissions calculades segons les tècniques emprades als diferents espais: naus, emmagatzematge i aplicació al camp</t>
  </si>
  <si>
    <t>total kg NH3 de tot el procés</t>
  </si>
  <si>
    <t>EXPLOTACIÓ PORCINA</t>
  </si>
  <si>
    <t>RESULTATS - SUPERVISIÓ MTD Emissions calculades (Porcí)</t>
  </si>
  <si>
    <t>Marca Oficial</t>
  </si>
  <si>
    <t>Places Categories productives</t>
  </si>
  <si>
    <t>Indiqui el cens mitjà anual de cada categoria</t>
  </si>
  <si>
    <t>Si s'aplica un únic sistema d'allotjament per a tots els animals, marcar la mateixa opció en totes les categories. En cas contrari, diferenciar per categoria.</t>
  </si>
  <si>
    <t>Fase 2. Evacuació de purins</t>
  </si>
  <si>
    <t>Si s'aplica un únic sistema de evacuació a tota la granja, marcar la mateixa opció a totes les categories. En cas contrari, diferenciar per categoria.</t>
  </si>
  <si>
    <t>Fase 3. Emmagatzematge de purins</t>
  </si>
  <si>
    <t>Fase 4. Aplicació de purins al camp</t>
  </si>
  <si>
    <t>Escollir el sistema utiltizat a l'explotació diferenciant, si procedeix, per categoria animal.</t>
  </si>
  <si>
    <r>
      <t>Separació sòlid-líquid</t>
    </r>
    <r>
      <rPr>
        <sz val="12"/>
        <color theme="1"/>
        <rFont val="Arial Narrow"/>
        <family val="2"/>
      </rPr>
      <t xml:space="preserve">: </t>
    </r>
  </si>
  <si>
    <t>Marcar si se separa la fracció sòlida de la fracció líquida de les dejeccions.</t>
  </si>
  <si>
    <r>
      <rPr>
        <b/>
        <i/>
        <sz val="12"/>
        <color theme="1"/>
        <rFont val="Arial Narrow"/>
        <family val="2"/>
      </rPr>
      <t>Destinació dels purins</t>
    </r>
    <r>
      <rPr>
        <sz val="12"/>
        <color theme="1"/>
        <rFont val="Arial Narrow"/>
        <family val="2"/>
      </rPr>
      <t>:</t>
    </r>
  </si>
  <si>
    <t>Indicar la destinació dels purins o fems procedent de l'explotació: el que es recull a la nau d'allotjament i el que es treu de l'emmagtazemartge dels purins.</t>
  </si>
  <si>
    <t>Si els purins es treuen fora de l'explotació, siguin o no lliurats a un gestor, marqui la destinació més probable.</t>
  </si>
  <si>
    <t>Si els purins o fems s'apliquen fora de l'explotació, marqui el sistema que s'aplica al lloc de destinació.</t>
  </si>
  <si>
    <t>A N I M A L S</t>
  </si>
  <si>
    <t>Si procedeix, diferenciar per categoria animal.</t>
  </si>
  <si>
    <t>Informi les següents dades identificatives de l'explotació. 
Més avall indiqui el nombre de places i les tècniques per a cada categoria productiva</t>
  </si>
  <si>
    <t>És la comparativa de les emissions estàndards sense considerar cap tècnica ('A', pitjor escenari) respecte les emissions calculades tenint en compte les tècniques seleccionades (B)</t>
  </si>
  <si>
    <t>Femelles (mares reproductores)</t>
  </si>
  <si>
    <t>Mascles reproductors</t>
  </si>
  <si>
    <t>Reposició mares</t>
  </si>
  <si>
    <t xml:space="preserve">MTD27 </t>
  </si>
  <si>
    <t>corregit</t>
  </si>
  <si>
    <t>Percentatge usos no agraris purins</t>
  </si>
  <si>
    <t>no aplica</t>
  </si>
  <si>
    <t>MTD 30</t>
  </si>
  <si>
    <t>Transició (6-20 kg)</t>
  </si>
  <si>
    <t>Engreix (&gt;20 kg)</t>
  </si>
  <si>
    <t>EE_NH3_STORE_SOLID</t>
  </si>
  <si>
    <t>Porcí Engreix</t>
  </si>
  <si>
    <t>0 fixe</t>
  </si>
  <si>
    <t>AE</t>
  </si>
  <si>
    <t>NITROGEN TOTAL EXCRETAT 
per plaça i any</t>
  </si>
  <si>
    <r>
      <t>N</t>
    </r>
    <r>
      <rPr>
        <vertAlign val="subscript"/>
        <sz val="11"/>
        <color theme="1"/>
        <rFont val="Calibri"/>
        <family val="2"/>
        <scheme val="minor"/>
      </rPr>
      <t>2</t>
    </r>
    <r>
      <rPr>
        <sz val="11"/>
        <color theme="1"/>
        <rFont val="Calibri"/>
        <family val="2"/>
        <scheme val="minor"/>
      </rPr>
      <t>O total</t>
    </r>
  </si>
  <si>
    <r>
      <t>NO</t>
    </r>
    <r>
      <rPr>
        <vertAlign val="subscript"/>
        <sz val="11"/>
        <color theme="1"/>
        <rFont val="Calibri"/>
        <family val="2"/>
        <scheme val="minor"/>
      </rPr>
      <t>x</t>
    </r>
    <r>
      <rPr>
        <sz val="11"/>
        <color theme="1"/>
        <rFont val="Calibri"/>
        <family val="2"/>
        <scheme val="minor"/>
      </rPr>
      <t xml:space="preserve">  total</t>
    </r>
  </si>
  <si>
    <r>
      <t>kg N</t>
    </r>
    <r>
      <rPr>
        <vertAlign val="subscript"/>
        <sz val="11"/>
        <color theme="1"/>
        <rFont val="Calibri"/>
        <family val="2"/>
        <scheme val="minor"/>
      </rPr>
      <t>2</t>
    </r>
    <r>
      <rPr>
        <sz val="11"/>
        <color theme="1"/>
        <rFont val="Calibri"/>
        <family val="2"/>
        <scheme val="minor"/>
      </rPr>
      <t>O/any</t>
    </r>
  </si>
  <si>
    <r>
      <t>kg NO</t>
    </r>
    <r>
      <rPr>
        <vertAlign val="subscript"/>
        <sz val="11"/>
        <color theme="1"/>
        <rFont val="Calibri"/>
        <family val="2"/>
        <scheme val="minor"/>
      </rPr>
      <t>x</t>
    </r>
    <r>
      <rPr>
        <sz val="11"/>
        <color theme="1"/>
        <rFont val="Calibri"/>
        <family val="2"/>
        <scheme val="minor"/>
      </rPr>
      <t>/any</t>
    </r>
  </si>
  <si>
    <t>FE Partícules</t>
  </si>
  <si>
    <t>kg PST</t>
  </si>
  <si>
    <r>
      <t>kg PM</t>
    </r>
    <r>
      <rPr>
        <vertAlign val="subscript"/>
        <sz val="11"/>
        <color theme="1"/>
        <rFont val="Calibri"/>
        <family val="2"/>
        <scheme val="minor"/>
      </rPr>
      <t>10</t>
    </r>
  </si>
  <si>
    <t>EE PST</t>
  </si>
  <si>
    <r>
      <t>EE PM</t>
    </r>
    <r>
      <rPr>
        <b/>
        <vertAlign val="subscript"/>
        <sz val="12"/>
        <color theme="1"/>
        <rFont val="Calibri"/>
        <family val="2"/>
        <scheme val="minor"/>
      </rPr>
      <t>10</t>
    </r>
  </si>
  <si>
    <t>Tier 1 EMEP 2019</t>
  </si>
  <si>
    <r>
      <t>kg PM</t>
    </r>
    <r>
      <rPr>
        <vertAlign val="subscript"/>
        <sz val="12"/>
        <color theme="1"/>
        <rFont val="Calibri"/>
        <family val="2"/>
        <scheme val="minor"/>
      </rPr>
      <t>10</t>
    </r>
  </si>
  <si>
    <t>Es mostren les emissions de PST calculades de cada categoria</t>
  </si>
  <si>
    <t>TOTAL</t>
  </si>
  <si>
    <r>
      <t>kg PM</t>
    </r>
    <r>
      <rPr>
        <vertAlign val="subscript"/>
        <sz val="11"/>
        <color theme="1"/>
        <rFont val="Calibri"/>
        <family val="2"/>
        <scheme val="minor"/>
      </rPr>
      <t>10</t>
    </r>
    <r>
      <rPr>
        <sz val="11"/>
        <color theme="1"/>
        <rFont val="Calibri"/>
        <family val="2"/>
        <scheme val="minor"/>
      </rPr>
      <t>/any</t>
    </r>
  </si>
  <si>
    <r>
      <t>PM</t>
    </r>
    <r>
      <rPr>
        <vertAlign val="subscript"/>
        <sz val="11"/>
        <color theme="1"/>
        <rFont val="Calibri"/>
        <family val="2"/>
        <scheme val="minor"/>
      </rPr>
      <t>10</t>
    </r>
    <r>
      <rPr>
        <sz val="11"/>
        <color theme="1"/>
        <rFont val="Calibri"/>
        <family val="2"/>
        <scheme val="minor"/>
      </rPr>
      <t xml:space="preserve"> total</t>
    </r>
  </si>
  <si>
    <t>P-1A-0</t>
  </si>
  <si>
    <t>P-1A-A</t>
  </si>
  <si>
    <t>P-1A-B</t>
  </si>
  <si>
    <t>P-1A-E</t>
  </si>
  <si>
    <t>P-1A-F</t>
  </si>
  <si>
    <t>P-1A-G</t>
  </si>
  <si>
    <t>P-1B-0</t>
  </si>
  <si>
    <t>P-1B-A</t>
  </si>
  <si>
    <t>P-1B-B</t>
  </si>
  <si>
    <t>P-1B-C</t>
  </si>
  <si>
    <t>P-1B-D</t>
  </si>
  <si>
    <t>P-2-0</t>
  </si>
  <si>
    <t>P-2-A</t>
  </si>
  <si>
    <t>P-2-B</t>
  </si>
  <si>
    <t>P-2-C</t>
  </si>
  <si>
    <t>P-2-D</t>
  </si>
  <si>
    <t>P-2-E</t>
  </si>
  <si>
    <t>P-2-F</t>
  </si>
  <si>
    <t>P-2-H</t>
  </si>
  <si>
    <t>P-2-I</t>
  </si>
  <si>
    <t>P-2-J</t>
  </si>
  <si>
    <t>P-3-0</t>
  </si>
  <si>
    <t>P-3-A</t>
  </si>
  <si>
    <t>P-3-B</t>
  </si>
  <si>
    <t>P-3-C</t>
  </si>
  <si>
    <t>P-3-D</t>
  </si>
  <si>
    <t>P-3-E</t>
  </si>
  <si>
    <t>P-3-F</t>
  </si>
  <si>
    <t>P-3-G</t>
  </si>
  <si>
    <t xml:space="preserve">DESTINACIÓ DELS PURINS
</t>
  </si>
  <si>
    <t>a) A la sortida de la nau on s'allotjan els animals:
b) A la sortida del lloc/s d'emmagatzematge:</t>
  </si>
  <si>
    <t>P-1A-H.1</t>
  </si>
  <si>
    <t>P-1A-H.2</t>
  </si>
  <si>
    <t>Sistema de separació d'excrements i orina - mares</t>
  </si>
  <si>
    <t>Sistema de separació d'excrements i orina - transició</t>
  </si>
  <si>
    <t>Fossa profunda i sistema depuració d'aire</t>
  </si>
  <si>
    <t>P-1A-I</t>
  </si>
  <si>
    <t>P-1A-C.1</t>
  </si>
  <si>
    <t>P-1A-C.2</t>
  </si>
  <si>
    <t>Engraella total i acidificació</t>
  </si>
  <si>
    <t>P-1A-D-1</t>
  </si>
  <si>
    <t>P-1A-D-2</t>
  </si>
  <si>
    <t>Engraellat total i refrigeració</t>
  </si>
  <si>
    <t>P-1A-J</t>
  </si>
  <si>
    <t>Llit de palla i sòl de formigó sòlid</t>
  </si>
  <si>
    <t>P-1A-K</t>
  </si>
  <si>
    <t>Llit de palla i engraellat (generació de fems sòlids i purins)</t>
  </si>
  <si>
    <t>P-1A-L</t>
  </si>
  <si>
    <t>Boles flotants a la fossa de purins</t>
  </si>
  <si>
    <t>P-1A-M</t>
  </si>
  <si>
    <t>FASE 1A. ALLOTJAMENT D'ANIMALS (excepte truges i transició)</t>
  </si>
  <si>
    <t>Acidificació purí (pH 6) i reg</t>
  </si>
  <si>
    <t>FASE 1A. ALLOTJAMENT D'ANIMALS (només truges)</t>
  </si>
  <si>
    <t>FASE 1A. ALLOTJAMENT D'ANIMALS (només transició)</t>
  </si>
  <si>
    <t>Col·lector de fems</t>
  </si>
  <si>
    <r>
      <t xml:space="preserve">Comprovació </t>
    </r>
    <r>
      <rPr>
        <u/>
        <sz val="11"/>
        <color theme="1"/>
        <rFont val="Calibri"/>
        <family val="2"/>
        <scheme val="minor"/>
      </rPr>
      <t>únicament a les naus</t>
    </r>
    <r>
      <rPr>
        <sz val="11"/>
        <color theme="1"/>
        <rFont val="Calibri"/>
        <family val="2"/>
        <scheme val="minor"/>
      </rPr>
      <t xml:space="preserve"> dels Nivells d'emissió d'amoníac associats a les Millors Tècniques Disponibles</t>
    </r>
  </si>
  <si>
    <t>Peces flotants (cobertura amb plaques amb formes geomètriques)</t>
  </si>
  <si>
    <t>Boles flotants (peces esfèriques)</t>
  </si>
  <si>
    <t>Espècie</t>
  </si>
  <si>
    <t>Fase</t>
  </si>
  <si>
    <t>Codi Opció</t>
  </si>
  <si>
    <t>Descripció tècnica</t>
  </si>
  <si>
    <t>Font:</t>
  </si>
  <si>
    <t>MTD resum</t>
  </si>
  <si>
    <t>Porcí (P)</t>
  </si>
  <si>
    <t>1A-Allotjament</t>
  </si>
  <si>
    <t>Ministeri d'Agricultura, Pesca i Alimentació - Referència (0%)</t>
  </si>
  <si>
    <t>Ministeri d'Agricultura, Pesca i Alimentació</t>
  </si>
  <si>
    <t>Guia de las MTD's</t>
  </si>
  <si>
    <t>Evaluación de tecnicas de reducción emisiones en ganaderia</t>
  </si>
  <si>
    <t>Guia de las MTD's en la ganaderia</t>
  </si>
  <si>
    <t>Guia de la MTD's del sector pocino</t>
  </si>
  <si>
    <t>1B-Evacuació purins</t>
  </si>
  <si>
    <t>Colector de fems</t>
  </si>
  <si>
    <t>2-Emmagatzematge</t>
  </si>
  <si>
    <t>3-Aplicació</t>
  </si>
  <si>
    <t>Acidificación purí (pH 6) i reg</t>
  </si>
  <si>
    <t>FASE 3. APLICACIÓ DE PURINS AL CAMP</t>
  </si>
  <si>
    <t>FASE 2. EMMAGATZEMATGE DE PURINS</t>
  </si>
  <si>
    <t>ALTRES TRACTAMENT IN SITU (a títol informatiu)</t>
  </si>
  <si>
    <t>Digestió aeròbica</t>
  </si>
  <si>
    <t>Compostatge</t>
  </si>
  <si>
    <t>MTD 19.b</t>
  </si>
  <si>
    <t>MTD 19.d</t>
  </si>
  <si>
    <t>MTD 19.e</t>
  </si>
  <si>
    <t>MTD 19.f</t>
  </si>
  <si>
    <t>(no n'hi ha)</t>
  </si>
  <si>
    <t>Altres tractaments in situ</t>
  </si>
  <si>
    <r>
      <t xml:space="preserve">ALTRES TRACTAMENTS IN SITU
</t>
    </r>
    <r>
      <rPr>
        <sz val="8"/>
        <color theme="1"/>
        <rFont val="Calibri"/>
        <family val="2"/>
        <scheme val="minor"/>
      </rPr>
      <t>(a títol informatiu)</t>
    </r>
  </si>
  <si>
    <t>Esculli el % aproximat de sòlids enviats a d'altres usos no agraris</t>
  </si>
  <si>
    <t>Nitrificació-desnitrificació</t>
  </si>
  <si>
    <t>Digestió anaeròbia</t>
  </si>
  <si>
    <t>-</t>
  </si>
  <si>
    <t>Esculli, si és el cas, quin tractament de les dejeccions es fa a l'explotació</t>
  </si>
  <si>
    <t>Fase 1. Allotjament d'animals</t>
  </si>
  <si>
    <t>Si l'emmagatzematge es fa a través d'un sistema comú marcar la mateixa opció per a totes les categories.
En cas contrari, diferenciar per categoria.</t>
  </si>
  <si>
    <t>Injecció profunda (&gt;15 cm)</t>
  </si>
  <si>
    <t>PIG</t>
  </si>
  <si>
    <r>
      <t xml:space="preserve">Dades de </t>
    </r>
    <r>
      <rPr>
        <b/>
        <u/>
        <sz val="11"/>
        <color theme="1"/>
        <rFont val="Calibri"/>
        <family val="2"/>
        <scheme val="minor"/>
      </rPr>
      <t>"Referència":</t>
    </r>
    <r>
      <rPr>
        <i/>
        <u/>
        <sz val="11"/>
        <color theme="1"/>
        <rFont val="Calibri"/>
        <family val="2"/>
        <scheme val="minor"/>
      </rPr>
      <t xml:space="preserve"> RÈPLICA DEL CÀLCUL CONSIDERANT LES TÈCNIQUES DE REFERÈNCIA AMB COEFICIENTS DE REDUCCIÓ IGUAL A 0%</t>
    </r>
  </si>
  <si>
    <r>
      <t xml:space="preserve">Emissions
</t>
    </r>
    <r>
      <rPr>
        <sz val="8"/>
        <color theme="1"/>
        <rFont val="Calibri"/>
        <family val="2"/>
        <scheme val="minor"/>
      </rPr>
      <t>kg PST/any</t>
    </r>
  </si>
  <si>
    <t>Supervisió emissions de pols (Partícules Sòlides Totals)</t>
  </si>
  <si>
    <t>Informació d'emissions no supervisades amb les Millors Tècniques Disponibles:</t>
  </si>
  <si>
    <t>Generalitat de Catalunya</t>
  </si>
  <si>
    <t>Departament de Territori</t>
  </si>
  <si>
    <t>i Sostenibilitat</t>
  </si>
  <si>
    <t>Direcció General de Qualitat Ambiental</t>
  </si>
  <si>
    <t>i Canvi Climàtic</t>
  </si>
  <si>
    <t>NOTA INFORMATIVA EN RELACIÓ AL CÀLCUL D’EMISSIONS A L’ATMOSFERA PROCEDENTS DE LES ACTIVITATS RAMADERES</t>
  </si>
  <si>
    <t xml:space="preserve">
El 21 de febrer de 2017 es va publicar la Decisió d’Execució 2017/302 de la Comissió Europea, de 15 de febrer de 2017, per la qual s’estableixen les conclusions sobre les Millors Tècniques Disponibles (MTD), en el marc de la Directiva 2010/75/UE del Parlament Europeu i del Consell, respecte la cria intensiva d’aus de corral i porcs (DOUE L 43).
D’acord amb l’article 26 del Reial Decret Legislatiu 1/2016, de 16 de desembre, pel que s’aprova el text refós de la llei de prevenció i control integrats de la contaminació, i l’article 62 de la llei 20/2009, del 4 de desembre, de prevenció i control ambiental de les activitats, procedeix revisar totes les autoritzacions ambientals atorgades a les activitats ramaderes incloses a la secció 6.6 de l’annex I de la Directiva 2010/75 /UE, per tal d’adequar-les al compliment de la Decisió d’Execució 2017/302 esmentada.
La  Decisió d’Execució 2017/302, entre d’altres, estableix uns nivells d’emissió associats a l’ús de les MTD, per les emissions procedents dels allotjaments de bestiar, en relació a determinades espècies (MTD 30, MTD 31 i MTD 32), que no es poden sobrepassar d’acord amb la normativa vigent, així com l’obligació de supervisar les emissions al llarg de tot el cicle productiu: allotjament, emmagatzematge dejeccions i aplicació al camp (MTD 25 i MTD 27).
Per tal de donar compliment a aquestes obligacions, totes les activitats ramaderes incloses a la secció 6.6 de l’annex I de la Directiva 2010/75/UE que tinguin adequada la seva autorització ambiental a la Decisió d’Execució 2017/302, han de presentar a la Direcció general de Qualitat Ambiental i Canvi Climàtic, d’acord amb els mitjans i metodologies que s’estableixin,  un informe sobre les emissions a l’atmosfera generades per la seva explotació durant l’any anterior, amb una periodicitat anual i abans del 31 de gener de cada any.
Per dur a terme aquesta comunicació s’ha habilitat un tràmit, a través de la plataforma tràmits.gencat.cat de la Generalitat de Catalunya, al qual s’accedeix a través del següent enllaç: 
</t>
  </si>
  <si>
    <t xml:space="preserve">http://gestio.web.gencat.cat/ca/tramits/tramits-temes/Comunicacio-anual-dels-nivells-demissio-de-les-activitats-ramaderes?category= </t>
  </si>
  <si>
    <t xml:space="preserve">Igualment s’ha establert la metodologia de càlcul, amb la col·laboració del Departament d’Agricultura, Ramaderia, Pesca i Alimentació,  en dos  arxius en format MS excel (un per a porcí i l’altre per aviram) que s’hauran d’annexar, degudament emplenats, al tràmit habilitat. Aquesta metodologia de càlcul és una adaptació de l’eina elaborada inicialment pel Ministeri d’Agricultura, Pesca i Alimentació.
L'arxiu de MS Excel consta de sis pestanyes, de les quals només s’ha d’emplenar la primera i la segona, anomenades “Dades_Id_expl” i “Dades” .El tercer full, anomenat “Resultats”, mostra el resultat obtingut del càlcul efectuat en base a les dades entrades en el  full anomenat “Dades” .
La resta de fulls mostren el funcionament de l’algoritme:
-  El full, anomenat “Càlculs”, mostra el càlcul basat en el flux del nitrogen amoniacal (mass-flow) establert a la Guia 2019 del Programa europeu de monitoratge i avaluació (EMEP) .
-  El full anomenat  “F.Emissió” mostra el factors d’emissió que l’algoritme considera per a cada fase, provinents de la Guia EMEP 2019.
-  El full, anomenat  “F.Distribució”, mostra els factors que estableixen la distribució del nitrogen entre les diferents fases del càlcul, diferenciant entre dejeccions líquides i sòlides quan és necessari.
-  El full, anomenat “Coeficients reducció”, fa constar els coeficients de reducció d’emissions d’amoníac que s’empren, per a cada espècie i categoria productiva, relacionats amb la tècnica aplicada en les diferents fases (allotjament, emmagatzematge de les dejeccions i aplicació al camp), així com la font en base a la qual s’ha establert els mateixos. 
Per a la determinació de la reducció d’amoníac a tot el procés, l’algoritme fa una comparativa entre les tècniques informades per l’usuari i les considerades com a tècniques de referència o pitjor escenari, que son les que més emissions produeixen. Aquestes tècniques estan indicades al full “Coeficients de reducció”.
L’eina de càlcul inclou un apartat, únicament a títol informatiu, per a que aquelles instal·lacions que disposen d’un tractament de les dejeccions in situ, ho facin constar, malgrat, ara per ara, no s’ha considerat el seu efecte sobre les emissions, motiu pel qual, actualment, aquest apartat no té efectes sobre el càlcul de les emissions. 
El contingut dels fulls tercer a setè (aviram) està bloquejat, atès que aquests fulls tenen únicament un caràcter informatiu.
</t>
  </si>
  <si>
    <t>Instruccions per a l’emplenament dels arxius excel  de càlcul de les emissions</t>
  </si>
  <si>
    <t xml:space="preserve">Quan una mateix granja tingui porcí i aviram, caldrà emplenar, com a mínim un arxiu, per a cada tipus de bestiar. 
Igualment, i en cas que hi hagi diferents naus, i quan no s’apliquin les mateixes MTD a totes elles, es podran emplenar repeticions de l’arxiu excel, però només en el cas que, per a la mateixa categoria, s’emprin diferents MTD. 
Per l’emplenament del full de càlcul relatiu a l’aviram, les dades a emplenar són les següents (pestanya “Dades”):
- Marca oficial
- IDQA
- Any al que es refereixen les dades informades
- Nom de l’explotació
- Nom del titular de l’explotació
- Cens mitjà de l’any al que fan referència les dades per categoria productiva
- Sistema d’allotjament del bestiar i d’evacuació de la gallinassa. Cal escollir el sistema del desplegable establert, per a cada categoria productiva
- Destí dels fems a la sortida dels allotjaments. Cal escollir el sistema de les dues opcions del desplegable (emmagatzematge –basses o dipòsits-, o altres usos no agraris – com per exemple gestor extern-, per a cada categoria productiva, distingint entre a la sortida de la nau i a la sortida del patí en el cas de gallines camperes. 
- Sistema d’emmagatzematge dels fems (si n’hi ha). Cal escollir el sistema del desplegable establert, per a cada categoria productiva
- Destí dels fems després de l’emmagatzematge. Cal escollir el sistema del desplegable establert, per a cada categoria productiva
- Sistema d’aplicació dels fems al camp. Cal escollir els sistema d’aplicació al sòl del desplegable establert, per a cada categoria productiva.
</t>
  </si>
  <si>
    <t>Femelles</t>
  </si>
  <si>
    <t>(*) Les emissions PRTR son la suma de les emissions a naus i a l'emmagatzematge. Se n'exclou l'aplicació al camp.</t>
  </si>
  <si>
    <r>
      <t>NH</t>
    </r>
    <r>
      <rPr>
        <vertAlign val="subscript"/>
        <sz val="10"/>
        <color theme="0"/>
        <rFont val="Calibri"/>
        <family val="2"/>
        <scheme val="minor"/>
      </rPr>
      <t>3</t>
    </r>
    <r>
      <rPr>
        <sz val="10"/>
        <color theme="0"/>
        <rFont val="Calibri"/>
        <family val="2"/>
        <scheme val="minor"/>
      </rPr>
      <t xml:space="preserve"> naus (*)</t>
    </r>
  </si>
  <si>
    <r>
      <rPr>
        <sz val="10"/>
        <color theme="0"/>
        <rFont val="Calibri"/>
        <family val="2"/>
        <scheme val="minor"/>
      </rPr>
      <t>NH</t>
    </r>
    <r>
      <rPr>
        <vertAlign val="subscript"/>
        <sz val="10"/>
        <color theme="0"/>
        <rFont val="Calibri"/>
        <family val="2"/>
        <scheme val="minor"/>
      </rPr>
      <t>3</t>
    </r>
    <r>
      <rPr>
        <sz val="9.5"/>
        <color theme="0"/>
        <rFont val="Calibri"/>
        <family val="2"/>
        <scheme val="minor"/>
      </rPr>
      <t xml:space="preserve"> emmagatzematge</t>
    </r>
    <r>
      <rPr>
        <sz val="8.5"/>
        <color theme="0"/>
        <rFont val="Calibri"/>
        <family val="2"/>
        <scheme val="minor"/>
      </rPr>
      <t xml:space="preserve"> (*)</t>
    </r>
  </si>
  <si>
    <t>v1.6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</si>
</sst>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000"/>
    <numFmt numFmtId="165" formatCode="0.000"/>
    <numFmt numFmtId="166" formatCode="#,##0.0000"/>
    <numFmt numFmtId="167" formatCode="0.0000000000"/>
    <numFmt numFmtId="168" formatCode="0.00000000000"/>
    <numFmt numFmtId="169" formatCode="0.0000000"/>
    <numFmt numFmtId="170" formatCode="#,##0.0"/>
    <numFmt numFmtId="171" formatCode="0.00000"/>
  </numFmts>
  <fonts count="75"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4"/>
      <color theme="1"/>
      <name val="Calibri"/>
      <family val="2"/>
      <scheme val="minor"/>
    </font>
    <font>
      <sz val="10"/>
      <name val="Arial"/>
      <family val="2"/>
    </font>
    <font>
      <b/>
      <sz val="14"/>
      <name val="Calibri"/>
      <family val="2"/>
      <scheme val="minor"/>
    </font>
    <font>
      <sz val="11"/>
      <color theme="1"/>
      <name val="Arial Narrow"/>
      <family val="2"/>
    </font>
    <font>
      <sz val="10"/>
      <color theme="1"/>
      <name val="Arial Narrow"/>
      <family val="2"/>
    </font>
    <font>
      <b/>
      <sz val="12"/>
      <color theme="1"/>
      <name val="Calibri"/>
      <family val="2"/>
      <scheme val="minor"/>
    </font>
    <font>
      <b/>
      <i/>
      <sz val="11"/>
      <color theme="1"/>
      <name val="Calibri"/>
      <family val="2"/>
      <scheme val="minor"/>
    </font>
    <font>
      <b/>
      <sz val="11"/>
      <color theme="1"/>
      <name val="Arial Narrow"/>
      <family val="2"/>
    </font>
    <font>
      <sz val="12"/>
      <color theme="1"/>
      <name val="Calibri"/>
      <family val="2"/>
      <scheme val="minor"/>
    </font>
    <font>
      <b/>
      <sz val="26"/>
      <color theme="1"/>
      <name val="Arial Rounded MT Bold"/>
      <family val="2"/>
    </font>
    <font>
      <sz val="12"/>
      <color theme="1"/>
      <name val="Arial Narrow"/>
      <family val="2"/>
    </font>
    <font>
      <sz val="14"/>
      <color theme="1"/>
      <name val="Calibri"/>
      <family val="2"/>
      <scheme val="minor"/>
    </font>
    <font>
      <i/>
      <sz val="11"/>
      <color theme="1"/>
      <name val="Calibri"/>
      <family val="2"/>
      <scheme val="minor"/>
    </font>
    <font>
      <b/>
      <sz val="12"/>
      <color rgb="FF7030A0"/>
      <name val="Calibri"/>
      <family val="2"/>
      <scheme val="minor"/>
    </font>
    <font>
      <sz val="9"/>
      <color indexed="81"/>
      <name val="Tahoma"/>
      <family val="2"/>
    </font>
    <font>
      <b/>
      <sz val="9"/>
      <color indexed="81"/>
      <name val="Tahoma"/>
      <family val="2"/>
    </font>
    <font>
      <u/>
      <sz val="11"/>
      <color theme="1"/>
      <name val="Calibri"/>
      <family val="2"/>
      <scheme val="minor"/>
    </font>
    <font>
      <b/>
      <u/>
      <sz val="11"/>
      <color theme="1"/>
      <name val="Calibri"/>
      <family val="2"/>
      <scheme val="minor"/>
    </font>
    <font>
      <sz val="11"/>
      <color theme="1"/>
      <name val="Calibri"/>
      <family val="2"/>
      <scheme val="minor"/>
    </font>
    <font>
      <strike/>
      <sz val="11"/>
      <color theme="1"/>
      <name val="Calibri"/>
      <family val="2"/>
      <scheme val="minor"/>
    </font>
    <font>
      <sz val="8"/>
      <color theme="1"/>
      <name val="Calibri"/>
      <family val="2"/>
      <scheme val="minor"/>
    </font>
    <font>
      <strike/>
      <sz val="12"/>
      <color theme="1"/>
      <name val="Arial Narrow"/>
      <family val="2"/>
    </font>
    <font>
      <b/>
      <i/>
      <strike/>
      <sz val="12"/>
      <color theme="1"/>
      <name val="Arial Narrow"/>
      <family val="2"/>
    </font>
    <font>
      <b/>
      <i/>
      <strike/>
      <sz val="12"/>
      <color theme="1"/>
      <name val="Calibri"/>
      <family val="2"/>
      <scheme val="minor"/>
    </font>
    <font>
      <b/>
      <sz val="10"/>
      <color theme="0"/>
      <name val="Calibri"/>
      <family val="2"/>
      <scheme val="minor"/>
    </font>
    <font>
      <b/>
      <vertAlign val="subscript"/>
      <sz val="10"/>
      <color theme="0"/>
      <name val="Calibri"/>
      <family val="2"/>
      <scheme val="minor"/>
    </font>
    <font>
      <sz val="10"/>
      <color theme="0"/>
      <name val="Calibri"/>
      <family val="2"/>
      <scheme val="minor"/>
    </font>
    <font>
      <vertAlign val="subscript"/>
      <sz val="10"/>
      <color theme="0"/>
      <name val="Calibri"/>
      <family val="2"/>
      <scheme val="minor"/>
    </font>
    <font>
      <vertAlign val="subscript"/>
      <sz val="8"/>
      <color theme="1"/>
      <name val="Calibri"/>
      <family val="2"/>
      <scheme val="minor"/>
    </font>
    <font>
      <strike/>
      <sz val="13"/>
      <color theme="1"/>
      <name val="Arial Rounded MT Bold"/>
      <family val="2"/>
    </font>
    <font>
      <strike/>
      <sz val="12"/>
      <color theme="1"/>
      <name val="Calibri"/>
      <family val="2"/>
      <scheme val="minor"/>
    </font>
    <font>
      <b/>
      <strike/>
      <sz val="14"/>
      <color theme="1"/>
      <name val="Calibri"/>
      <family val="2"/>
      <scheme val="minor"/>
    </font>
    <font>
      <b/>
      <strike/>
      <sz val="11"/>
      <color theme="1"/>
      <name val="Calibri"/>
      <family val="2"/>
      <scheme val="minor"/>
    </font>
    <font>
      <b/>
      <i/>
      <sz val="12"/>
      <color theme="1"/>
      <name val="Arial Narrow"/>
      <family val="2"/>
    </font>
    <font>
      <b/>
      <i/>
      <sz val="12"/>
      <color theme="1"/>
      <name val="Calibri"/>
      <family val="2"/>
      <scheme val="minor"/>
    </font>
    <font>
      <b/>
      <sz val="9"/>
      <color theme="1"/>
      <name val="Calibri"/>
      <family val="2"/>
      <scheme val="minor"/>
    </font>
    <font>
      <i/>
      <u/>
      <sz val="11"/>
      <color theme="1"/>
      <name val="Calibri"/>
      <family val="2"/>
      <scheme val="minor"/>
    </font>
    <font>
      <sz val="16"/>
      <color theme="1"/>
      <name val="Calibri"/>
      <family val="2"/>
      <scheme val="minor"/>
    </font>
    <font>
      <b/>
      <sz val="36"/>
      <color theme="1"/>
      <name val="Symbol"/>
      <family val="1"/>
      <charset val="2"/>
    </font>
    <font>
      <b/>
      <sz val="16"/>
      <color theme="1"/>
      <name val="Arial Black"/>
      <family val="2"/>
    </font>
    <font>
      <b/>
      <sz val="18"/>
      <color theme="1"/>
      <name val="Arial Black"/>
      <family val="2"/>
    </font>
    <font>
      <sz val="11"/>
      <color theme="1"/>
      <name val="Arial Black"/>
      <family val="2"/>
    </font>
    <font>
      <vertAlign val="subscript"/>
      <sz val="11"/>
      <color theme="1"/>
      <name val="Calibri"/>
      <family val="2"/>
      <scheme val="minor"/>
    </font>
    <font>
      <b/>
      <vertAlign val="subscript"/>
      <sz val="12"/>
      <color theme="1"/>
      <name val="Calibri"/>
      <family val="2"/>
      <scheme val="minor"/>
    </font>
    <font>
      <sz val="6"/>
      <color theme="1"/>
      <name val="Calibri"/>
      <family val="2"/>
      <scheme val="minor"/>
    </font>
    <font>
      <vertAlign val="subscript"/>
      <sz val="12"/>
      <color theme="1"/>
      <name val="Calibri"/>
      <family val="2"/>
      <scheme val="minor"/>
    </font>
    <font>
      <sz val="11"/>
      <color theme="0"/>
      <name val="Calibri"/>
      <family val="2"/>
      <scheme val="minor"/>
    </font>
    <font>
      <i/>
      <sz val="11"/>
      <color theme="0"/>
      <name val="Calibri"/>
      <family val="2"/>
      <scheme val="minor"/>
    </font>
    <font>
      <sz val="14"/>
      <color rgb="FFEBEEE2"/>
      <name val="Calibri"/>
      <family val="2"/>
      <scheme val="minor"/>
    </font>
    <font>
      <b/>
      <sz val="11"/>
      <color rgb="FFEBEEE2"/>
      <name val="Calibri"/>
      <family val="2"/>
      <scheme val="minor"/>
    </font>
    <font>
      <sz val="11"/>
      <color rgb="FFEBEEE2"/>
      <name val="Calibri"/>
      <family val="2"/>
      <scheme val="minor"/>
    </font>
    <font>
      <b/>
      <sz val="9"/>
      <color theme="1"/>
      <name val="Arial Rounded MT Bold"/>
      <family val="2"/>
    </font>
    <font>
      <b/>
      <sz val="10"/>
      <color theme="1"/>
      <name val="Arial Narrow"/>
      <family val="2"/>
    </font>
    <font>
      <u/>
      <sz val="11"/>
      <color theme="10"/>
      <name val="Calibri"/>
      <family val="2"/>
      <scheme val="minor"/>
    </font>
    <font>
      <u/>
      <sz val="8"/>
      <color theme="10"/>
      <name val="Calibri"/>
      <family val="2"/>
      <scheme val="minor"/>
    </font>
    <font>
      <u/>
      <sz val="9"/>
      <color theme="10"/>
      <name val="Calibri"/>
      <family val="2"/>
      <scheme val="minor"/>
    </font>
    <font>
      <b/>
      <sz val="7"/>
      <color theme="1"/>
      <name val="Calibri"/>
      <family val="2"/>
      <scheme val="minor"/>
    </font>
    <font>
      <sz val="11"/>
      <color rgb="FFFFFFEB"/>
      <name val="Calibri"/>
      <family val="2"/>
      <scheme val="minor"/>
    </font>
    <font>
      <b/>
      <i/>
      <sz val="11"/>
      <color rgb="FFFFFFEB"/>
      <name val="Calibri"/>
      <family val="2"/>
      <scheme val="minor"/>
    </font>
    <font>
      <sz val="11"/>
      <color rgb="FF1F497D"/>
      <name val="Calibri"/>
      <family val="2"/>
      <scheme val="minor"/>
    </font>
    <font>
      <sz val="13"/>
      <color theme="1"/>
      <name val="Helvetica"/>
      <family val="2"/>
    </font>
    <font>
      <sz val="10"/>
      <color theme="1"/>
      <name val="Helvetica"/>
      <family val="2"/>
    </font>
    <font>
      <b/>
      <sz val="10"/>
      <color theme="1"/>
      <name val="Helvetica"/>
      <family val="2"/>
    </font>
    <font>
      <b/>
      <sz val="13"/>
      <color theme="1"/>
      <name val="Helvetica"/>
      <family val="2"/>
    </font>
    <font>
      <b/>
      <u/>
      <sz val="11"/>
      <color theme="1"/>
      <name val="Arial"/>
      <family val="2"/>
    </font>
    <font>
      <sz val="9"/>
      <color rgb="FF000000"/>
      <name val="Arial"/>
      <family val="2"/>
    </font>
    <font>
      <sz val="10"/>
      <color theme="1"/>
      <name val="Calibri"/>
      <family val="2"/>
      <scheme val="minor"/>
    </font>
    <font>
      <u/>
      <sz val="9"/>
      <color theme="10"/>
      <name val="Arial"/>
      <family val="2"/>
    </font>
    <font>
      <u/>
      <sz val="10"/>
      <color rgb="FF000000"/>
      <name val="Arial"/>
      <family val="2"/>
    </font>
    <font>
      <sz val="9.5"/>
      <color theme="0"/>
      <name val="Calibri"/>
      <family val="2"/>
      <scheme val="minor"/>
    </font>
    <font>
      <sz val="8.5"/>
      <color theme="0"/>
      <name val="Calibri"/>
      <family val="2"/>
      <scheme val="minor"/>
    </font>
  </fonts>
  <fills count="30">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FFEBEB"/>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EBEEE2"/>
        <bgColor indexed="64"/>
      </patternFill>
    </fill>
    <fill>
      <patternFill patternType="solid">
        <fgColor rgb="FFF0E1FF"/>
        <bgColor indexed="64"/>
      </patternFill>
    </fill>
    <fill>
      <patternFill patternType="solid">
        <fgColor rgb="FFFFE1FF"/>
        <bgColor indexed="64"/>
      </patternFill>
    </fill>
    <fill>
      <patternFill patternType="solid">
        <fgColor theme="0" tint="-0.14999847407452621"/>
        <bgColor indexed="64"/>
      </patternFill>
    </fill>
    <fill>
      <patternFill patternType="solid">
        <fgColor rgb="FFE6E6E6"/>
        <bgColor indexed="64"/>
      </patternFill>
    </fill>
    <fill>
      <patternFill patternType="solid">
        <fgColor rgb="FFFFFFF3"/>
        <bgColor indexed="64"/>
      </patternFill>
    </fill>
    <fill>
      <patternFill patternType="solid">
        <fgColor theme="9" tint="0.59999389629810485"/>
        <bgColor indexed="64"/>
      </patternFill>
    </fill>
    <fill>
      <patternFill patternType="solid">
        <fgColor rgb="FF00B050"/>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rgb="FFFFFFCC"/>
        <bgColor indexed="64"/>
      </patternFill>
    </fill>
    <fill>
      <patternFill patternType="solid">
        <fgColor rgb="FFCAE8AA"/>
        <bgColor indexed="64"/>
      </patternFill>
    </fill>
    <fill>
      <patternFill patternType="solid">
        <fgColor rgb="FFFFC000"/>
        <bgColor indexed="64"/>
      </patternFill>
    </fill>
    <fill>
      <patternFill patternType="solid">
        <fgColor rgb="FFFFFFEB"/>
        <bgColor indexed="64"/>
      </patternFill>
    </fill>
  </fills>
  <borders count="3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hair">
        <color auto="1"/>
      </left>
      <right style="hair">
        <color auto="1"/>
      </right>
      <top style="hair">
        <color auto="1"/>
      </top>
      <bottom style="hair">
        <color auto="1"/>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slantDashDot">
        <color auto="1"/>
      </left>
      <right style="slantDashDot">
        <color auto="1"/>
      </right>
      <top style="slantDashDot">
        <color auto="1"/>
      </top>
      <bottom style="slantDashDot">
        <color auto="1"/>
      </bottom>
      <diagonal/>
    </border>
    <border>
      <left/>
      <right style="medium">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5">
    <xf numFmtId="0" fontId="0" fillId="0" borderId="0"/>
    <xf numFmtId="0" fontId="5" fillId="0" borderId="0"/>
    <xf numFmtId="0" fontId="5" fillId="0" borderId="0"/>
    <xf numFmtId="9" fontId="22" fillId="0" borderId="0" applyFont="0" applyFill="0" applyBorder="0" applyAlignment="0" applyProtection="0"/>
    <xf numFmtId="0" fontId="57" fillId="0" borderId="0" applyNumberFormat="0" applyFill="0" applyBorder="0" applyAlignment="0" applyProtection="0"/>
  </cellStyleXfs>
  <cellXfs count="655">
    <xf numFmtId="0" fontId="0" fillId="0" borderId="0" xfId="0"/>
    <xf numFmtId="0" fontId="0" fillId="0" borderId="0" xfId="0" applyAlignment="1">
      <alignment horizontal="right"/>
    </xf>
    <xf numFmtId="0" fontId="0" fillId="0" borderId="0" xfId="0" applyBorder="1"/>
    <xf numFmtId="0" fontId="0" fillId="0" borderId="18" xfId="0" applyBorder="1" applyAlignment="1">
      <alignment horizontal="center"/>
    </xf>
    <xf numFmtId="0" fontId="0" fillId="0" borderId="21" xfId="0" applyBorder="1" applyAlignment="1">
      <alignment horizontal="center"/>
    </xf>
    <xf numFmtId="0" fontId="1" fillId="0" borderId="0" xfId="0" applyFont="1"/>
    <xf numFmtId="0" fontId="0" fillId="0" borderId="22" xfId="0" applyBorder="1"/>
    <xf numFmtId="2" fontId="0" fillId="3" borderId="18" xfId="0" applyNumberFormat="1" applyFill="1" applyBorder="1" applyAlignment="1">
      <alignment horizontal="center"/>
    </xf>
    <xf numFmtId="2" fontId="0" fillId="0" borderId="0" xfId="0" applyNumberFormat="1" applyBorder="1" applyAlignment="1">
      <alignment horizontal="center"/>
    </xf>
    <xf numFmtId="0" fontId="0" fillId="0" borderId="0" xfId="0" applyAlignment="1">
      <alignment vertical="center"/>
    </xf>
    <xf numFmtId="0" fontId="0" fillId="9" borderId="0" xfId="0" applyFill="1"/>
    <xf numFmtId="0" fontId="0" fillId="9" borderId="0" xfId="0" applyFill="1" applyBorder="1"/>
    <xf numFmtId="0" fontId="0" fillId="9" borderId="22" xfId="0" applyFill="1" applyBorder="1"/>
    <xf numFmtId="0" fontId="0" fillId="9" borderId="22" xfId="0" applyFill="1" applyBorder="1" applyAlignment="1">
      <alignment horizontal="center"/>
    </xf>
    <xf numFmtId="0" fontId="0" fillId="9" borderId="0" xfId="0" applyFill="1" applyBorder="1" applyAlignment="1">
      <alignment horizontal="center"/>
    </xf>
    <xf numFmtId="0" fontId="0" fillId="9" borderId="18" xfId="0" applyFill="1" applyBorder="1" applyAlignment="1">
      <alignment horizontal="center"/>
    </xf>
    <xf numFmtId="0" fontId="0" fillId="9" borderId="19" xfId="0" applyFill="1" applyBorder="1" applyAlignment="1">
      <alignment horizontal="center"/>
    </xf>
    <xf numFmtId="0" fontId="0" fillId="9" borderId="20" xfId="0"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20" xfId="0" applyBorder="1" applyAlignment="1">
      <alignment horizontal="center"/>
    </xf>
    <xf numFmtId="0" fontId="0" fillId="0" borderId="0" xfId="0" applyAlignment="1">
      <alignment horizontal="center"/>
    </xf>
    <xf numFmtId="0" fontId="0" fillId="2" borderId="20" xfId="0" applyFill="1" applyBorder="1" applyAlignment="1">
      <alignment horizontal="center"/>
    </xf>
    <xf numFmtId="0" fontId="0" fillId="3" borderId="20" xfId="0" applyFill="1" applyBorder="1" applyAlignment="1">
      <alignment horizontal="center"/>
    </xf>
    <xf numFmtId="0" fontId="7" fillId="0" borderId="0" xfId="0" applyFont="1" applyBorder="1" applyAlignment="1">
      <alignment horizontal="center"/>
    </xf>
    <xf numFmtId="0" fontId="7" fillId="9" borderId="0" xfId="0" applyFont="1" applyFill="1" applyBorder="1" applyAlignment="1">
      <alignment horizontal="center"/>
    </xf>
    <xf numFmtId="0" fontId="7" fillId="2" borderId="0" xfId="0" applyFont="1" applyFill="1" applyBorder="1" applyAlignment="1">
      <alignment horizontal="center"/>
    </xf>
    <xf numFmtId="0" fontId="7" fillId="3" borderId="0" xfId="0" applyFont="1" applyFill="1" applyBorder="1" applyAlignment="1">
      <alignment horizontal="center"/>
    </xf>
    <xf numFmtId="0" fontId="7" fillId="0" borderId="22" xfId="0" applyFont="1" applyBorder="1" applyAlignment="1">
      <alignment horizontal="center"/>
    </xf>
    <xf numFmtId="0" fontId="7" fillId="0" borderId="18" xfId="0" applyFont="1" applyBorder="1" applyAlignment="1">
      <alignment horizontal="center"/>
    </xf>
    <xf numFmtId="0" fontId="0" fillId="0" borderId="19" xfId="0" applyBorder="1" applyAlignment="1">
      <alignment horizontal="center"/>
    </xf>
    <xf numFmtId="0" fontId="7" fillId="10" borderId="18" xfId="0" applyFont="1" applyFill="1" applyBorder="1" applyAlignment="1">
      <alignment horizontal="center"/>
    </xf>
    <xf numFmtId="0" fontId="8" fillId="0" borderId="22" xfId="0" applyFont="1" applyFill="1" applyBorder="1" applyAlignment="1">
      <alignment horizontal="center"/>
    </xf>
    <xf numFmtId="0" fontId="8" fillId="0" borderId="0" xfId="0" applyFont="1" applyFill="1" applyBorder="1" applyAlignment="1">
      <alignment horizontal="center"/>
    </xf>
    <xf numFmtId="0" fontId="8" fillId="0" borderId="18" xfId="0" applyFont="1" applyFill="1" applyBorder="1" applyAlignment="1">
      <alignment horizontal="center"/>
    </xf>
    <xf numFmtId="0" fontId="0" fillId="0" borderId="15" xfId="0" applyBorder="1" applyAlignment="1">
      <alignment horizontal="center"/>
    </xf>
    <xf numFmtId="0" fontId="0" fillId="10" borderId="20" xfId="0" applyFill="1" applyBorder="1" applyAlignment="1">
      <alignment horizontal="center"/>
    </xf>
    <xf numFmtId="0" fontId="0" fillId="10" borderId="21" xfId="0" applyFill="1" applyBorder="1" applyAlignment="1">
      <alignment horizontal="center"/>
    </xf>
    <xf numFmtId="0" fontId="7" fillId="10" borderId="0" xfId="0" applyFont="1" applyFill="1" applyBorder="1" applyAlignment="1">
      <alignment horizontal="center"/>
    </xf>
    <xf numFmtId="0" fontId="7" fillId="2" borderId="20" xfId="0" applyFont="1" applyFill="1" applyBorder="1" applyAlignment="1">
      <alignment horizontal="center"/>
    </xf>
    <xf numFmtId="0" fontId="9" fillId="0" borderId="0" xfId="0" applyFont="1"/>
    <xf numFmtId="0" fontId="7" fillId="9" borderId="20" xfId="0" applyFont="1" applyFill="1" applyBorder="1" applyAlignment="1">
      <alignment horizontal="center"/>
    </xf>
    <xf numFmtId="0" fontId="0" fillId="0" borderId="20" xfId="0" applyBorder="1" applyAlignment="1">
      <alignment horizontal="center"/>
    </xf>
    <xf numFmtId="0" fontId="9" fillId="0" borderId="16" xfId="0" applyFont="1" applyBorder="1" applyAlignment="1">
      <alignment horizontal="center"/>
    </xf>
    <xf numFmtId="0" fontId="0" fillId="11" borderId="0" xfId="0" applyFill="1" applyAlignment="1">
      <alignment vertical="center"/>
    </xf>
    <xf numFmtId="0" fontId="0" fillId="13" borderId="0" xfId="0" applyFill="1" applyAlignment="1">
      <alignment vertical="center"/>
    </xf>
    <xf numFmtId="0" fontId="14" fillId="11" borderId="0" xfId="0" applyFont="1" applyFill="1" applyAlignment="1">
      <alignment vertical="center"/>
    </xf>
    <xf numFmtId="0" fontId="12" fillId="11" borderId="0" xfId="0" applyFont="1" applyFill="1" applyAlignment="1">
      <alignment vertical="center"/>
    </xf>
    <xf numFmtId="0" fontId="3" fillId="13" borderId="0" xfId="0" applyFont="1" applyFill="1" applyAlignment="1">
      <alignment vertical="center" textRotation="90"/>
    </xf>
    <xf numFmtId="0" fontId="9" fillId="13" borderId="0" xfId="0" applyFont="1" applyFill="1" applyBorder="1" applyAlignment="1">
      <alignment horizontal="center" vertical="center"/>
    </xf>
    <xf numFmtId="0" fontId="14" fillId="13" borderId="0" xfId="0" applyFont="1" applyFill="1" applyAlignment="1">
      <alignment vertical="center"/>
    </xf>
    <xf numFmtId="0" fontId="12" fillId="13" borderId="0" xfId="0" applyFont="1" applyFill="1" applyAlignment="1">
      <alignment vertical="center"/>
    </xf>
    <xf numFmtId="0" fontId="8" fillId="13" borderId="0" xfId="0" applyFont="1" applyFill="1" applyBorder="1" applyAlignment="1">
      <alignment horizontal="left" vertical="center"/>
    </xf>
    <xf numFmtId="0" fontId="7" fillId="13" borderId="0" xfId="0" applyFont="1" applyFill="1" applyBorder="1" applyAlignment="1">
      <alignment vertical="center"/>
    </xf>
    <xf numFmtId="0" fontId="0" fillId="13" borderId="0" xfId="0" applyFill="1" applyBorder="1" applyAlignment="1">
      <alignment vertical="center"/>
    </xf>
    <xf numFmtId="0" fontId="15" fillId="13" borderId="0" xfId="0" applyFont="1" applyFill="1" applyBorder="1" applyAlignment="1">
      <alignment vertical="center"/>
    </xf>
    <xf numFmtId="0" fontId="1" fillId="6" borderId="0" xfId="0" applyFont="1" applyFill="1" applyBorder="1" applyAlignment="1">
      <alignment horizontal="center" vertical="center" wrapText="1"/>
    </xf>
    <xf numFmtId="0" fontId="10" fillId="5" borderId="0" xfId="0" applyFont="1" applyFill="1" applyBorder="1" applyAlignment="1">
      <alignment vertical="center"/>
    </xf>
    <xf numFmtId="0" fontId="1" fillId="13" borderId="0" xfId="0" applyFont="1" applyFill="1" applyBorder="1" applyAlignment="1">
      <alignment vertical="center" wrapText="1"/>
    </xf>
    <xf numFmtId="0" fontId="10" fillId="4" borderId="0" xfId="0" applyFont="1" applyFill="1" applyBorder="1" applyAlignment="1">
      <alignment vertical="center"/>
    </xf>
    <xf numFmtId="0" fontId="3" fillId="14" borderId="0" xfId="0" applyFont="1" applyFill="1" applyBorder="1" applyAlignment="1">
      <alignment vertical="center" textRotation="90"/>
    </xf>
    <xf numFmtId="4" fontId="10" fillId="2" borderId="0" xfId="0" applyNumberFormat="1" applyFont="1" applyFill="1" applyBorder="1" applyAlignment="1">
      <alignment vertical="center"/>
    </xf>
    <xf numFmtId="4" fontId="10" fillId="8" borderId="0" xfId="0" applyNumberFormat="1" applyFont="1" applyFill="1" applyBorder="1" applyAlignment="1">
      <alignment vertical="center"/>
    </xf>
    <xf numFmtId="3" fontId="0" fillId="9" borderId="23" xfId="0" applyNumberFormat="1" applyFont="1" applyFill="1" applyBorder="1" applyAlignment="1" applyProtection="1">
      <alignment horizontal="center" vertical="center"/>
      <protection locked="0"/>
    </xf>
    <xf numFmtId="0" fontId="1" fillId="7" borderId="0" xfId="0" applyFont="1" applyFill="1" applyBorder="1" applyAlignment="1">
      <alignment vertical="center"/>
    </xf>
    <xf numFmtId="0" fontId="0" fillId="7" borderId="0" xfId="0" applyFill="1" applyAlignment="1">
      <alignment vertical="center"/>
    </xf>
    <xf numFmtId="0" fontId="1" fillId="13" borderId="0" xfId="0" applyFont="1" applyFill="1" applyBorder="1" applyAlignment="1">
      <alignment vertical="center"/>
    </xf>
    <xf numFmtId="0" fontId="0" fillId="7" borderId="0" xfId="0" applyFill="1" applyBorder="1" applyAlignment="1">
      <alignment vertical="center"/>
    </xf>
    <xf numFmtId="0" fontId="9" fillId="6" borderId="0" xfId="0" applyFont="1" applyFill="1" applyBorder="1" applyAlignment="1">
      <alignment vertical="center"/>
    </xf>
    <xf numFmtId="0" fontId="0" fillId="6" borderId="0" xfId="0" applyFont="1" applyFill="1" applyBorder="1" applyAlignment="1">
      <alignment vertical="center"/>
    </xf>
    <xf numFmtId="3" fontId="1" fillId="7" borderId="0" xfId="0" applyNumberFormat="1" applyFont="1" applyFill="1" applyBorder="1" applyAlignment="1">
      <alignment vertical="center"/>
    </xf>
    <xf numFmtId="0" fontId="0" fillId="7" borderId="0" xfId="0" applyFont="1" applyFill="1" applyBorder="1" applyAlignment="1">
      <alignment vertical="center"/>
    </xf>
    <xf numFmtId="0" fontId="0" fillId="6" borderId="0" xfId="0" applyFill="1" applyBorder="1" applyAlignment="1">
      <alignment vertical="center"/>
    </xf>
    <xf numFmtId="0" fontId="0" fillId="4" borderId="0" xfId="0" applyFill="1" applyBorder="1" applyAlignment="1">
      <alignment vertical="center"/>
    </xf>
    <xf numFmtId="0" fontId="2" fillId="13" borderId="0" xfId="0" applyFont="1" applyFill="1" applyAlignment="1">
      <alignment vertical="center"/>
    </xf>
    <xf numFmtId="0" fontId="9" fillId="0" borderId="16" xfId="0" applyFont="1" applyBorder="1" applyAlignment="1">
      <alignment horizontal="center"/>
    </xf>
    <xf numFmtId="0" fontId="7" fillId="0" borderId="13" xfId="0" applyFont="1" applyFill="1" applyBorder="1" applyAlignment="1">
      <alignment horizontal="center"/>
    </xf>
    <xf numFmtId="0" fontId="7" fillId="10" borderId="21" xfId="0" applyFont="1" applyFill="1" applyBorder="1" applyAlignment="1">
      <alignment horizontal="center"/>
    </xf>
    <xf numFmtId="0" fontId="7" fillId="10" borderId="20" xfId="0" applyFont="1" applyFill="1" applyBorder="1" applyAlignment="1">
      <alignment horizontal="center"/>
    </xf>
    <xf numFmtId="0" fontId="7" fillId="9" borderId="22" xfId="0" applyFont="1" applyFill="1" applyBorder="1" applyAlignment="1">
      <alignment horizontal="center"/>
    </xf>
    <xf numFmtId="0" fontId="7" fillId="9" borderId="19" xfId="0" applyFont="1" applyFill="1" applyBorder="1" applyAlignment="1">
      <alignment horizontal="center"/>
    </xf>
    <xf numFmtId="0" fontId="0" fillId="0" borderId="20" xfId="0" applyBorder="1" applyAlignment="1">
      <alignment horizontal="center"/>
    </xf>
    <xf numFmtId="164" fontId="0" fillId="0" borderId="24" xfId="0" applyNumberFormat="1" applyBorder="1"/>
    <xf numFmtId="164" fontId="0" fillId="0" borderId="0" xfId="0" applyNumberFormat="1"/>
    <xf numFmtId="0" fontId="0" fillId="0" borderId="0" xfId="0" applyBorder="1" applyAlignment="1">
      <alignment horizontal="center"/>
    </xf>
    <xf numFmtId="0" fontId="0" fillId="0" borderId="20" xfId="0" applyBorder="1" applyAlignment="1">
      <alignment horizontal="center"/>
    </xf>
    <xf numFmtId="0" fontId="7" fillId="0" borderId="22" xfId="0" applyFont="1" applyBorder="1" applyAlignment="1">
      <alignment horizontal="center"/>
    </xf>
    <xf numFmtId="0" fontId="7" fillId="3" borderId="18" xfId="0" applyFont="1" applyFill="1" applyBorder="1" applyAlignment="1">
      <alignment horizontal="center"/>
    </xf>
    <xf numFmtId="0" fontId="8" fillId="9" borderId="0" xfId="0" applyFont="1" applyFill="1" applyBorder="1" applyAlignment="1">
      <alignment horizontal="center"/>
    </xf>
    <xf numFmtId="0" fontId="8" fillId="9" borderId="18" xfId="0" applyFont="1" applyFill="1" applyBorder="1" applyAlignment="1">
      <alignment horizontal="center"/>
    </xf>
    <xf numFmtId="0" fontId="8" fillId="9" borderId="22" xfId="0" applyFont="1" applyFill="1" applyBorder="1" applyAlignment="1">
      <alignment horizontal="center"/>
    </xf>
    <xf numFmtId="169" fontId="0" fillId="0" borderId="22" xfId="0" applyNumberFormat="1" applyBorder="1"/>
    <xf numFmtId="1" fontId="0" fillId="0" borderId="13" xfId="0" applyNumberFormat="1" applyBorder="1" applyAlignment="1">
      <alignment horizontal="right"/>
    </xf>
    <xf numFmtId="164" fontId="0" fillId="0" borderId="0" xfId="0" applyNumberFormat="1" applyBorder="1" applyAlignment="1">
      <alignment horizontal="right"/>
    </xf>
    <xf numFmtId="164" fontId="0" fillId="0" borderId="16" xfId="0" applyNumberFormat="1" applyBorder="1" applyAlignment="1">
      <alignment horizontal="right"/>
    </xf>
    <xf numFmtId="164" fontId="0" fillId="0" borderId="17" xfId="0" applyNumberFormat="1" applyBorder="1" applyAlignment="1">
      <alignment horizontal="right"/>
    </xf>
    <xf numFmtId="164" fontId="0" fillId="0" borderId="24" xfId="0" applyNumberFormat="1" applyBorder="1" applyAlignment="1">
      <alignment horizontal="right"/>
    </xf>
    <xf numFmtId="164" fontId="0" fillId="0" borderId="22" xfId="0" applyNumberFormat="1" applyBorder="1" applyAlignment="1">
      <alignment horizontal="right"/>
    </xf>
    <xf numFmtId="164" fontId="0" fillId="2" borderId="0" xfId="0" applyNumberFormat="1" applyFill="1" applyBorder="1" applyAlignment="1">
      <alignment horizontal="right"/>
    </xf>
    <xf numFmtId="164" fontId="0" fillId="10" borderId="0" xfId="0" applyNumberFormat="1" applyFill="1" applyBorder="1" applyAlignment="1">
      <alignment horizontal="right"/>
    </xf>
    <xf numFmtId="164" fontId="0" fillId="10" borderId="18" xfId="0" applyNumberFormat="1" applyFill="1" applyBorder="1" applyAlignment="1">
      <alignment horizontal="right"/>
    </xf>
    <xf numFmtId="164" fontId="0" fillId="3" borderId="0" xfId="0" applyNumberFormat="1" applyFill="1" applyBorder="1" applyAlignment="1">
      <alignment horizontal="right"/>
    </xf>
    <xf numFmtId="164" fontId="0" fillId="2" borderId="16" xfId="0" applyNumberFormat="1" applyFill="1" applyBorder="1" applyAlignment="1">
      <alignment horizontal="right"/>
    </xf>
    <xf numFmtId="164" fontId="0" fillId="10" borderId="16" xfId="0" applyNumberFormat="1" applyFill="1" applyBorder="1" applyAlignment="1">
      <alignment horizontal="right"/>
    </xf>
    <xf numFmtId="164" fontId="0" fillId="0" borderId="14" xfId="0" applyNumberFormat="1" applyBorder="1" applyAlignment="1">
      <alignment horizontal="right"/>
    </xf>
    <xf numFmtId="164" fontId="0" fillId="3" borderId="18" xfId="0" applyNumberFormat="1" applyFill="1" applyBorder="1" applyAlignment="1">
      <alignment horizontal="right"/>
    </xf>
    <xf numFmtId="1" fontId="0" fillId="0" borderId="14" xfId="0" applyNumberFormat="1" applyBorder="1" applyAlignment="1">
      <alignment horizontal="right"/>
    </xf>
    <xf numFmtId="1" fontId="0" fillId="0" borderId="15" xfId="0" applyNumberFormat="1" applyBorder="1" applyAlignment="1">
      <alignment horizontal="right"/>
    </xf>
    <xf numFmtId="167" fontId="0" fillId="0" borderId="0" xfId="0" applyNumberFormat="1" applyAlignment="1">
      <alignment horizontal="right"/>
    </xf>
    <xf numFmtId="168" fontId="0" fillId="0" borderId="0" xfId="0" applyNumberFormat="1" applyAlignment="1">
      <alignment horizontal="right"/>
    </xf>
    <xf numFmtId="0" fontId="7" fillId="10" borderId="19" xfId="0" applyFont="1" applyFill="1" applyBorder="1" applyAlignment="1">
      <alignment horizontal="center"/>
    </xf>
    <xf numFmtId="0" fontId="0" fillId="10" borderId="0" xfId="0" applyFill="1" applyBorder="1" applyAlignment="1">
      <alignment horizontal="center"/>
    </xf>
    <xf numFmtId="0" fontId="7" fillId="3" borderId="13" xfId="0" applyFont="1" applyFill="1" applyBorder="1" applyAlignment="1">
      <alignment horizontal="center"/>
    </xf>
    <xf numFmtId="0" fontId="0" fillId="3" borderId="15" xfId="0" applyFill="1" applyBorder="1" applyAlignment="1">
      <alignment horizontal="center"/>
    </xf>
    <xf numFmtId="164" fontId="0" fillId="3" borderId="14" xfId="0" applyNumberFormat="1" applyFill="1" applyBorder="1" applyAlignment="1">
      <alignment horizontal="right"/>
    </xf>
    <xf numFmtId="165" fontId="0" fillId="0" borderId="0" xfId="0" applyNumberFormat="1" applyBorder="1" applyAlignment="1">
      <alignment horizontal="right"/>
    </xf>
    <xf numFmtId="165" fontId="0" fillId="2" borderId="0" xfId="0" applyNumberFormat="1" applyFill="1" applyBorder="1" applyAlignment="1">
      <alignment horizontal="right"/>
    </xf>
    <xf numFmtId="0" fontId="0" fillId="2" borderId="0" xfId="0" applyFill="1" applyBorder="1" applyAlignment="1">
      <alignment horizontal="center"/>
    </xf>
    <xf numFmtId="0" fontId="9" fillId="2" borderId="16" xfId="0" applyFont="1" applyFill="1" applyBorder="1" applyAlignment="1">
      <alignment horizontal="center"/>
    </xf>
    <xf numFmtId="0" fontId="12" fillId="2" borderId="20" xfId="0" applyFont="1" applyFill="1" applyBorder="1" applyAlignment="1">
      <alignment horizontal="center"/>
    </xf>
    <xf numFmtId="0" fontId="0" fillId="3" borderId="21" xfId="0" applyFill="1"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3" fontId="0" fillId="9" borderId="23" xfId="0" applyNumberFormat="1" applyFont="1" applyFill="1" applyBorder="1" applyAlignment="1" applyProtection="1">
      <alignment horizontal="left" vertical="center"/>
      <protection locked="0"/>
    </xf>
    <xf numFmtId="0" fontId="1" fillId="4" borderId="0" xfId="0" applyFont="1" applyFill="1" applyBorder="1" applyAlignment="1">
      <alignment horizontal="left" vertical="center" wrapText="1"/>
    </xf>
    <xf numFmtId="0" fontId="10" fillId="5" borderId="0" xfId="0" applyFont="1" applyFill="1" applyBorder="1" applyAlignment="1">
      <alignment horizontal="left" vertical="center"/>
    </xf>
    <xf numFmtId="4" fontId="10" fillId="2" borderId="0" xfId="0" applyNumberFormat="1" applyFont="1" applyFill="1" applyBorder="1" applyAlignment="1">
      <alignment horizontal="left" vertical="center"/>
    </xf>
    <xf numFmtId="4" fontId="10" fillId="8" borderId="0" xfId="0" applyNumberFormat="1" applyFont="1" applyFill="1" applyBorder="1" applyAlignment="1">
      <alignment horizontal="left" vertical="center"/>
    </xf>
    <xf numFmtId="4" fontId="0" fillId="0" borderId="24" xfId="0" applyNumberFormat="1" applyBorder="1" applyAlignment="1">
      <alignment horizontal="right"/>
    </xf>
    <xf numFmtId="4" fontId="0" fillId="0" borderId="22" xfId="0" applyNumberFormat="1" applyBorder="1" applyAlignment="1">
      <alignment horizontal="right"/>
    </xf>
    <xf numFmtId="164" fontId="0" fillId="0" borderId="18" xfId="0" applyNumberFormat="1" applyBorder="1" applyAlignment="1">
      <alignment horizontal="right"/>
    </xf>
    <xf numFmtId="4" fontId="0" fillId="0" borderId="19" xfId="0" applyNumberFormat="1" applyBorder="1" applyAlignment="1">
      <alignment horizontal="right"/>
    </xf>
    <xf numFmtId="0" fontId="0" fillId="0" borderId="22" xfId="0" applyBorder="1" applyAlignment="1">
      <alignment horizontal="center"/>
    </xf>
    <xf numFmtId="0" fontId="0" fillId="15" borderId="18" xfId="0" applyFill="1" applyBorder="1" applyAlignment="1">
      <alignment horizontal="center"/>
    </xf>
    <xf numFmtId="169" fontId="0" fillId="15" borderId="24" xfId="0" applyNumberFormat="1" applyFill="1" applyBorder="1"/>
    <xf numFmtId="2" fontId="0" fillId="15" borderId="18" xfId="0" applyNumberFormat="1" applyFill="1" applyBorder="1" applyAlignment="1">
      <alignment horizontal="center"/>
    </xf>
    <xf numFmtId="2" fontId="0" fillId="15" borderId="22" xfId="0" applyNumberFormat="1" applyFill="1" applyBorder="1" applyAlignment="1">
      <alignment horizontal="center"/>
    </xf>
    <xf numFmtId="2" fontId="0" fillId="15" borderId="16" xfId="0" applyNumberFormat="1" applyFill="1" applyBorder="1" applyAlignment="1">
      <alignment horizontal="center"/>
    </xf>
    <xf numFmtId="2" fontId="0" fillId="15" borderId="17" xfId="0" applyNumberFormat="1" applyFill="1" applyBorder="1" applyAlignment="1">
      <alignment horizontal="center"/>
    </xf>
    <xf numFmtId="169" fontId="0" fillId="15" borderId="22" xfId="0" applyNumberFormat="1" applyFill="1" applyBorder="1"/>
    <xf numFmtId="2" fontId="0" fillId="3" borderId="14" xfId="0" applyNumberFormat="1" applyFill="1" applyBorder="1" applyAlignment="1">
      <alignment horizontal="center"/>
    </xf>
    <xf numFmtId="2" fontId="0" fillId="0" borderId="18" xfId="0" applyNumberFormat="1" applyBorder="1" applyAlignment="1">
      <alignment horizontal="center"/>
    </xf>
    <xf numFmtId="164" fontId="0" fillId="3" borderId="22" xfId="0" applyNumberFormat="1" applyFill="1" applyBorder="1" applyAlignment="1">
      <alignment horizontal="right"/>
    </xf>
    <xf numFmtId="0" fontId="0" fillId="9" borderId="18" xfId="0" applyFill="1" applyBorder="1"/>
    <xf numFmtId="164" fontId="0" fillId="0" borderId="19" xfId="0" applyNumberFormat="1" applyBorder="1" applyAlignment="1">
      <alignment horizontal="right"/>
    </xf>
    <xf numFmtId="164" fontId="0" fillId="0" borderId="20" xfId="0" applyNumberFormat="1" applyBorder="1" applyAlignment="1">
      <alignment horizontal="right"/>
    </xf>
    <xf numFmtId="164" fontId="0" fillId="0" borderId="21" xfId="0" applyNumberFormat="1" applyBorder="1" applyAlignment="1">
      <alignment horizontal="right"/>
    </xf>
    <xf numFmtId="164" fontId="0" fillId="10" borderId="17" xfId="0" applyNumberFormat="1" applyFill="1" applyBorder="1" applyAlignment="1">
      <alignment horizontal="right"/>
    </xf>
    <xf numFmtId="164" fontId="0" fillId="2" borderId="20" xfId="0" applyNumberFormat="1" applyFill="1" applyBorder="1" applyAlignment="1">
      <alignment horizontal="right"/>
    </xf>
    <xf numFmtId="164" fontId="0" fillId="10" borderId="20" xfId="0" applyNumberFormat="1" applyFill="1" applyBorder="1" applyAlignment="1">
      <alignment horizontal="right"/>
    </xf>
    <xf numFmtId="164" fontId="0" fillId="10" borderId="21" xfId="0" applyNumberFormat="1" applyFill="1" applyBorder="1" applyAlignment="1">
      <alignment horizontal="right"/>
    </xf>
    <xf numFmtId="0" fontId="0" fillId="0" borderId="14" xfId="0" applyBorder="1" applyAlignment="1">
      <alignment horizontal="center"/>
    </xf>
    <xf numFmtId="166" fontId="0" fillId="0" borderId="16" xfId="0" applyNumberFormat="1" applyBorder="1" applyAlignment="1">
      <alignment horizontal="right"/>
    </xf>
    <xf numFmtId="166" fontId="0" fillId="0" borderId="0" xfId="0" applyNumberFormat="1" applyBorder="1" applyAlignment="1">
      <alignment horizontal="right"/>
    </xf>
    <xf numFmtId="166" fontId="0" fillId="0" borderId="17" xfId="0" applyNumberFormat="1" applyBorder="1" applyAlignment="1">
      <alignment horizontal="right"/>
    </xf>
    <xf numFmtId="166" fontId="0" fillId="0" borderId="18" xfId="0" applyNumberFormat="1" applyBorder="1" applyAlignment="1">
      <alignment horizontal="right"/>
    </xf>
    <xf numFmtId="166" fontId="0" fillId="0" borderId="20" xfId="0" applyNumberFormat="1" applyBorder="1" applyAlignment="1">
      <alignment horizontal="right"/>
    </xf>
    <xf numFmtId="166" fontId="0" fillId="0" borderId="21" xfId="0" applyNumberFormat="1" applyBorder="1" applyAlignment="1">
      <alignment horizontal="right"/>
    </xf>
    <xf numFmtId="166" fontId="0" fillId="2" borderId="0" xfId="0" applyNumberFormat="1" applyFill="1" applyBorder="1" applyAlignment="1">
      <alignment horizontal="right"/>
    </xf>
    <xf numFmtId="166" fontId="0" fillId="10" borderId="0" xfId="0" applyNumberFormat="1" applyFill="1" applyBorder="1" applyAlignment="1">
      <alignment horizontal="right"/>
    </xf>
    <xf numFmtId="166" fontId="0" fillId="0" borderId="0" xfId="0" applyNumberFormat="1" applyAlignment="1">
      <alignment horizontal="right"/>
    </xf>
    <xf numFmtId="166" fontId="0" fillId="2" borderId="0" xfId="0" applyNumberFormat="1" applyFont="1" applyFill="1" applyBorder="1" applyAlignment="1">
      <alignment horizontal="right"/>
    </xf>
    <xf numFmtId="166" fontId="0" fillId="0" borderId="22" xfId="0" applyNumberFormat="1" applyBorder="1" applyAlignment="1">
      <alignment horizontal="right"/>
    </xf>
    <xf numFmtId="166" fontId="0" fillId="2" borderId="18" xfId="0" applyNumberFormat="1" applyFill="1" applyBorder="1" applyAlignment="1">
      <alignment horizontal="right"/>
    </xf>
    <xf numFmtId="166" fontId="0" fillId="0" borderId="24" xfId="0" applyNumberFormat="1" applyBorder="1" applyAlignment="1">
      <alignment horizontal="right"/>
    </xf>
    <xf numFmtId="166" fontId="0" fillId="2" borderId="16" xfId="0" applyNumberFormat="1" applyFont="1" applyFill="1" applyBorder="1" applyAlignment="1">
      <alignment horizontal="right"/>
    </xf>
    <xf numFmtId="166" fontId="0" fillId="10" borderId="16" xfId="0" applyNumberFormat="1" applyFill="1" applyBorder="1" applyAlignment="1">
      <alignment horizontal="right"/>
    </xf>
    <xf numFmtId="166" fontId="0" fillId="10" borderId="17" xfId="0" applyNumberFormat="1" applyFill="1" applyBorder="1" applyAlignment="1">
      <alignment horizontal="right"/>
    </xf>
    <xf numFmtId="166" fontId="0" fillId="10" borderId="18" xfId="0" applyNumberFormat="1" applyFill="1" applyBorder="1" applyAlignment="1">
      <alignment horizontal="right"/>
    </xf>
    <xf numFmtId="0" fontId="7" fillId="10" borderId="22" xfId="0" applyFont="1" applyFill="1" applyBorder="1" applyAlignment="1">
      <alignment horizontal="center"/>
    </xf>
    <xf numFmtId="166" fontId="0" fillId="10" borderId="22" xfId="0" applyNumberFormat="1" applyFill="1" applyBorder="1" applyAlignment="1">
      <alignment horizontal="right"/>
    </xf>
    <xf numFmtId="0" fontId="12" fillId="9" borderId="18" xfId="0" applyFont="1" applyFill="1" applyBorder="1" applyAlignment="1">
      <alignment horizontal="center"/>
    </xf>
    <xf numFmtId="166" fontId="0" fillId="0" borderId="19" xfId="0" applyNumberFormat="1" applyBorder="1" applyAlignment="1">
      <alignment horizontal="right"/>
    </xf>
    <xf numFmtId="0" fontId="9" fillId="0" borderId="10" xfId="0" applyFont="1" applyFill="1" applyBorder="1"/>
    <xf numFmtId="1" fontId="9" fillId="0" borderId="15" xfId="0" applyNumberFormat="1" applyFont="1" applyBorder="1" applyAlignment="1">
      <alignment horizontal="right"/>
    </xf>
    <xf numFmtId="0" fontId="9" fillId="0" borderId="11" xfId="0" applyFont="1" applyBorder="1"/>
    <xf numFmtId="166" fontId="9" fillId="0" borderId="12" xfId="0" applyNumberFormat="1" applyFont="1" applyBorder="1" applyAlignment="1">
      <alignment horizontal="right"/>
    </xf>
    <xf numFmtId="164" fontId="9" fillId="0" borderId="11" xfId="0" applyNumberFormat="1" applyFont="1" applyBorder="1" applyAlignment="1">
      <alignment horizontal="right"/>
    </xf>
    <xf numFmtId="164" fontId="9" fillId="2" borderId="11" xfId="0" applyNumberFormat="1" applyFont="1" applyFill="1" applyBorder="1" applyAlignment="1">
      <alignment horizontal="right"/>
    </xf>
    <xf numFmtId="164" fontId="9" fillId="10" borderId="11" xfId="0" applyNumberFormat="1" applyFont="1" applyFill="1" applyBorder="1" applyAlignment="1">
      <alignment horizontal="right"/>
    </xf>
    <xf numFmtId="164" fontId="9" fillId="0" borderId="20" xfId="0" applyNumberFormat="1" applyFont="1" applyBorder="1" applyAlignment="1">
      <alignment horizontal="right"/>
    </xf>
    <xf numFmtId="166" fontId="9" fillId="0" borderId="20" xfId="0" applyNumberFormat="1" applyFont="1" applyBorder="1" applyAlignment="1">
      <alignment horizontal="right"/>
    </xf>
    <xf numFmtId="165" fontId="9" fillId="0" borderId="10" xfId="0" applyNumberFormat="1" applyFont="1" applyBorder="1" applyAlignment="1">
      <alignment horizontal="right"/>
    </xf>
    <xf numFmtId="165" fontId="9" fillId="2" borderId="11" xfId="0" applyNumberFormat="1" applyFont="1" applyFill="1" applyBorder="1" applyAlignment="1">
      <alignment horizontal="right"/>
    </xf>
    <xf numFmtId="164" fontId="9" fillId="10" borderId="12" xfId="0" applyNumberFormat="1" applyFont="1" applyFill="1" applyBorder="1" applyAlignment="1">
      <alignment horizontal="right"/>
    </xf>
    <xf numFmtId="166" fontId="9" fillId="2" borderId="10" xfId="0" applyNumberFormat="1" applyFont="1" applyFill="1" applyBorder="1" applyAlignment="1">
      <alignment horizontal="right"/>
    </xf>
    <xf numFmtId="0" fontId="9" fillId="2" borderId="13" xfId="0" applyFont="1" applyFill="1" applyBorder="1" applyAlignment="1">
      <alignment horizontal="center"/>
    </xf>
    <xf numFmtId="2" fontId="0" fillId="15" borderId="13" xfId="0" applyNumberFormat="1" applyFill="1" applyBorder="1" applyAlignment="1">
      <alignment horizontal="center"/>
    </xf>
    <xf numFmtId="2" fontId="0" fillId="0" borderId="14" xfId="0" applyNumberFormat="1" applyBorder="1" applyAlignment="1">
      <alignment horizontal="center"/>
    </xf>
    <xf numFmtId="2" fontId="0" fillId="15" borderId="14" xfId="0" applyNumberFormat="1" applyFill="1" applyBorder="1" applyAlignment="1">
      <alignment horizontal="center"/>
    </xf>
    <xf numFmtId="0" fontId="11" fillId="0" borderId="13" xfId="0" applyFont="1" applyFill="1" applyBorder="1" applyAlignment="1">
      <alignment horizontal="center" vertical="center"/>
    </xf>
    <xf numFmtId="2" fontId="0" fillId="3" borderId="0" xfId="0" applyNumberFormat="1" applyFill="1" applyBorder="1" applyAlignment="1">
      <alignment horizontal="center"/>
    </xf>
    <xf numFmtId="0" fontId="9" fillId="0" borderId="17" xfId="0" applyFont="1" applyBorder="1" applyAlignment="1"/>
    <xf numFmtId="2" fontId="0" fillId="3" borderId="13" xfId="0" applyNumberFormat="1" applyFill="1" applyBorder="1" applyAlignment="1">
      <alignment horizontal="center"/>
    </xf>
    <xf numFmtId="2" fontId="0" fillId="16" borderId="16" xfId="0" applyNumberFormat="1" applyFill="1" applyBorder="1" applyAlignment="1">
      <alignment horizontal="center"/>
    </xf>
    <xf numFmtId="2" fontId="0" fillId="16" borderId="17" xfId="0" applyNumberFormat="1" applyFill="1" applyBorder="1" applyAlignment="1">
      <alignment horizontal="center"/>
    </xf>
    <xf numFmtId="2" fontId="0" fillId="16" borderId="0" xfId="0" applyNumberFormat="1" applyFill="1" applyBorder="1" applyAlignment="1">
      <alignment horizontal="center"/>
    </xf>
    <xf numFmtId="2" fontId="0" fillId="16" borderId="18" xfId="0" applyNumberFormat="1" applyFill="1" applyBorder="1" applyAlignment="1">
      <alignment horizontal="center"/>
    </xf>
    <xf numFmtId="2" fontId="0" fillId="16" borderId="24" xfId="0" applyNumberFormat="1" applyFill="1" applyBorder="1" applyAlignment="1">
      <alignment horizontal="center"/>
    </xf>
    <xf numFmtId="2" fontId="0" fillId="16" borderId="22" xfId="0" applyNumberFormat="1" applyFill="1" applyBorder="1" applyAlignment="1">
      <alignment horizontal="center"/>
    </xf>
    <xf numFmtId="2" fontId="0" fillId="9" borderId="22" xfId="0" applyNumberFormat="1" applyFill="1" applyBorder="1" applyAlignment="1">
      <alignment horizontal="center"/>
    </xf>
    <xf numFmtId="4" fontId="10" fillId="17" borderId="0" xfId="0" applyNumberFormat="1" applyFont="1" applyFill="1" applyBorder="1" applyAlignment="1">
      <alignment vertical="center"/>
    </xf>
    <xf numFmtId="4" fontId="10" fillId="17" borderId="0" xfId="0" applyNumberFormat="1" applyFont="1" applyFill="1" applyBorder="1" applyAlignment="1">
      <alignment horizontal="left" vertical="center"/>
    </xf>
    <xf numFmtId="0" fontId="4" fillId="17" borderId="11" xfId="0" applyFont="1" applyFill="1" applyBorder="1" applyAlignment="1">
      <alignment horizontal="center" vertical="center" wrapText="1"/>
    </xf>
    <xf numFmtId="0" fontId="15" fillId="17" borderId="0" xfId="0" applyFont="1" applyFill="1" applyBorder="1" applyAlignment="1">
      <alignment vertical="center"/>
    </xf>
    <xf numFmtId="4" fontId="10" fillId="17" borderId="0" xfId="0" applyNumberFormat="1" applyFont="1" applyFill="1" applyBorder="1" applyAlignment="1">
      <alignment horizontal="left" vertical="top" wrapText="1"/>
    </xf>
    <xf numFmtId="4" fontId="0" fillId="0" borderId="0" xfId="0" applyNumberFormat="1"/>
    <xf numFmtId="0" fontId="0" fillId="5" borderId="0" xfId="0" applyFont="1" applyFill="1" applyAlignment="1">
      <alignment vertical="center"/>
    </xf>
    <xf numFmtId="0" fontId="16" fillId="5" borderId="0" xfId="0" applyFont="1" applyFill="1" applyAlignment="1">
      <alignment vertical="center"/>
    </xf>
    <xf numFmtId="4" fontId="0" fillId="5" borderId="0" xfId="0" applyNumberFormat="1" applyFont="1" applyFill="1" applyAlignment="1">
      <alignment vertical="center"/>
    </xf>
    <xf numFmtId="0" fontId="0" fillId="0" borderId="0" xfId="0" applyAlignment="1">
      <alignment horizontal="center" vertical="center"/>
    </xf>
    <xf numFmtId="2" fontId="0" fillId="0" borderId="0" xfId="0" applyNumberFormat="1" applyAlignment="1">
      <alignment horizontal="center" vertical="center"/>
    </xf>
    <xf numFmtId="2" fontId="0" fillId="0" borderId="0" xfId="0" applyNumberFormat="1"/>
    <xf numFmtId="0" fontId="0" fillId="4" borderId="0" xfId="0" applyFont="1" applyFill="1" applyAlignment="1">
      <alignment vertical="center"/>
    </xf>
    <xf numFmtId="0" fontId="0" fillId="4" borderId="0" xfId="0" applyFill="1" applyAlignment="1">
      <alignment vertical="center"/>
    </xf>
    <xf numFmtId="2" fontId="0" fillId="4" borderId="0" xfId="0" applyNumberFormat="1" applyFill="1" applyAlignment="1">
      <alignment vertical="center"/>
    </xf>
    <xf numFmtId="4" fontId="0" fillId="5" borderId="20" xfId="0" applyNumberFormat="1" applyFont="1" applyFill="1" applyBorder="1" applyAlignment="1">
      <alignment horizontal="center" vertical="center"/>
    </xf>
    <xf numFmtId="4" fontId="8" fillId="5" borderId="20" xfId="0" applyNumberFormat="1" applyFont="1" applyFill="1" applyBorder="1" applyAlignment="1">
      <alignment horizontal="center" vertical="center"/>
    </xf>
    <xf numFmtId="2" fontId="0" fillId="4" borderId="20" xfId="0" applyNumberFormat="1" applyFill="1" applyBorder="1" applyAlignment="1">
      <alignment horizontal="center" vertical="center"/>
    </xf>
    <xf numFmtId="4" fontId="0" fillId="2" borderId="0" xfId="0" applyNumberFormat="1" applyFont="1" applyFill="1" applyAlignment="1">
      <alignment vertical="center"/>
    </xf>
    <xf numFmtId="4" fontId="0" fillId="2" borderId="0" xfId="0" applyNumberFormat="1" applyFill="1" applyAlignment="1">
      <alignment vertical="center"/>
    </xf>
    <xf numFmtId="4" fontId="8" fillId="2" borderId="20" xfId="0" applyNumberFormat="1" applyFont="1" applyFill="1" applyBorder="1" applyAlignment="1">
      <alignment horizontal="center" vertical="center"/>
    </xf>
    <xf numFmtId="4" fontId="0" fillId="2" borderId="20" xfId="0" applyNumberFormat="1" applyFill="1" applyBorder="1" applyAlignment="1">
      <alignment horizontal="center" vertical="center"/>
    </xf>
    <xf numFmtId="2" fontId="0" fillId="0" borderId="0" xfId="0" applyNumberFormat="1" applyAlignment="1">
      <alignment horizontal="center"/>
    </xf>
    <xf numFmtId="4" fontId="0" fillId="7" borderId="0" xfId="0" applyNumberFormat="1" applyFont="1" applyFill="1" applyAlignment="1">
      <alignment horizontal="left" vertical="center"/>
    </xf>
    <xf numFmtId="4" fontId="16" fillId="7" borderId="0" xfId="0" applyNumberFormat="1" applyFont="1" applyFill="1" applyAlignment="1">
      <alignment horizontal="left" vertical="center"/>
    </xf>
    <xf numFmtId="4" fontId="0" fillId="7" borderId="20" xfId="0" applyNumberFormat="1" applyFont="1" applyFill="1" applyBorder="1" applyAlignment="1">
      <alignment horizontal="center" vertical="center"/>
    </xf>
    <xf numFmtId="4" fontId="8" fillId="7" borderId="20" xfId="0" applyNumberFormat="1" applyFont="1" applyFill="1" applyBorder="1" applyAlignment="1">
      <alignment horizontal="center" vertical="center"/>
    </xf>
    <xf numFmtId="2" fontId="0" fillId="9" borderId="0" xfId="0" applyNumberFormat="1" applyFill="1" applyBorder="1" applyAlignment="1">
      <alignment horizontal="center"/>
    </xf>
    <xf numFmtId="2" fontId="8" fillId="4" borderId="20" xfId="0" applyNumberFormat="1" applyFont="1" applyFill="1" applyBorder="1" applyAlignment="1">
      <alignment horizontal="center" vertical="center"/>
    </xf>
    <xf numFmtId="165" fontId="0" fillId="9" borderId="18" xfId="0" applyNumberFormat="1" applyFill="1" applyBorder="1" applyAlignment="1">
      <alignment horizontal="center"/>
    </xf>
    <xf numFmtId="0" fontId="0" fillId="0" borderId="16" xfId="0" applyBorder="1" applyAlignment="1">
      <alignment horizontal="center"/>
    </xf>
    <xf numFmtId="0" fontId="0" fillId="0" borderId="24" xfId="0" applyBorder="1" applyAlignment="1">
      <alignment horizontal="center"/>
    </xf>
    <xf numFmtId="0" fontId="0" fillId="0" borderId="17" xfId="0" applyBorder="1" applyAlignment="1">
      <alignment horizontal="center"/>
    </xf>
    <xf numFmtId="0" fontId="9" fillId="9" borderId="0" xfId="0" applyFont="1" applyFill="1" applyBorder="1"/>
    <xf numFmtId="0" fontId="17" fillId="0" borderId="26" xfId="0" applyFont="1" applyBorder="1" applyAlignment="1">
      <alignment horizontal="center"/>
    </xf>
    <xf numFmtId="0" fontId="9" fillId="0" borderId="16" xfId="0" applyFont="1" applyBorder="1" applyAlignment="1">
      <alignment horizontal="center"/>
    </xf>
    <xf numFmtId="0" fontId="7" fillId="0" borderId="22" xfId="0" applyFont="1" applyBorder="1" applyAlignment="1">
      <alignment horizontal="center"/>
    </xf>
    <xf numFmtId="0" fontId="7" fillId="9" borderId="21" xfId="0" applyFont="1" applyFill="1" applyBorder="1" applyAlignment="1">
      <alignment horizontal="center"/>
    </xf>
    <xf numFmtId="4" fontId="9" fillId="0" borderId="11" xfId="0" applyNumberFormat="1" applyFont="1" applyBorder="1" applyAlignment="1">
      <alignment horizontal="right"/>
    </xf>
    <xf numFmtId="170" fontId="9" fillId="0" borderId="11" xfId="0" applyNumberFormat="1" applyFont="1" applyBorder="1" applyAlignment="1">
      <alignment horizontal="right"/>
    </xf>
    <xf numFmtId="0" fontId="9" fillId="0" borderId="13" xfId="0" applyFont="1" applyBorder="1" applyAlignment="1">
      <alignment horizontal="right"/>
    </xf>
    <xf numFmtId="0" fontId="9" fillId="0" borderId="24" xfId="0" applyFont="1" applyBorder="1" applyAlignment="1">
      <alignment horizontal="right"/>
    </xf>
    <xf numFmtId="0" fontId="9" fillId="0" borderId="16" xfId="0" applyFont="1" applyBorder="1" applyAlignment="1">
      <alignment horizontal="right"/>
    </xf>
    <xf numFmtId="0" fontId="9" fillId="0" borderId="17" xfId="0" applyFont="1" applyBorder="1" applyAlignment="1">
      <alignment horizontal="right"/>
    </xf>
    <xf numFmtId="0" fontId="9" fillId="0" borderId="13" xfId="0" applyFont="1" applyFill="1" applyBorder="1" applyAlignment="1">
      <alignment horizontal="right"/>
    </xf>
    <xf numFmtId="0" fontId="9" fillId="0" borderId="16" xfId="0" applyFont="1" applyFill="1" applyBorder="1" applyAlignment="1">
      <alignment horizontal="right"/>
    </xf>
    <xf numFmtId="0" fontId="9" fillId="0" borderId="17" xfId="0" applyFont="1" applyFill="1" applyBorder="1" applyAlignment="1">
      <alignment horizontal="right"/>
    </xf>
    <xf numFmtId="0" fontId="9" fillId="0" borderId="24" xfId="0" applyFont="1" applyFill="1" applyBorder="1" applyAlignment="1">
      <alignment horizontal="right"/>
    </xf>
    <xf numFmtId="4" fontId="9" fillId="0" borderId="20" xfId="0" applyNumberFormat="1" applyFont="1" applyBorder="1" applyAlignment="1">
      <alignment horizontal="right"/>
    </xf>
    <xf numFmtId="4" fontId="9" fillId="2" borderId="12" xfId="0" applyNumberFormat="1" applyFont="1" applyFill="1" applyBorder="1" applyAlignment="1">
      <alignment horizontal="right"/>
    </xf>
    <xf numFmtId="164" fontId="9" fillId="0" borderId="13" xfId="0" applyNumberFormat="1" applyFont="1" applyBorder="1" applyAlignment="1">
      <alignment horizontal="right"/>
    </xf>
    <xf numFmtId="4" fontId="9" fillId="10" borderId="11" xfId="0" applyNumberFormat="1" applyFont="1" applyFill="1" applyBorder="1" applyAlignment="1">
      <alignment horizontal="right"/>
    </xf>
    <xf numFmtId="2" fontId="9" fillId="0" borderId="11" xfId="0" applyNumberFormat="1" applyFont="1" applyBorder="1" applyAlignment="1">
      <alignment horizontal="right"/>
    </xf>
    <xf numFmtId="2" fontId="9" fillId="10" borderId="11" xfId="0" applyNumberFormat="1" applyFont="1" applyFill="1" applyBorder="1" applyAlignment="1">
      <alignment horizontal="right"/>
    </xf>
    <xf numFmtId="164" fontId="9" fillId="0" borderId="24" xfId="0" applyNumberFormat="1" applyFont="1" applyBorder="1" applyAlignment="1">
      <alignment horizontal="right"/>
    </xf>
    <xf numFmtId="2" fontId="9" fillId="0" borderId="20" xfId="0" applyNumberFormat="1" applyFont="1" applyBorder="1" applyAlignment="1">
      <alignment horizontal="right"/>
    </xf>
    <xf numFmtId="2" fontId="9" fillId="2" borderId="20" xfId="0" applyNumberFormat="1" applyFont="1" applyFill="1" applyBorder="1" applyAlignment="1">
      <alignment horizontal="right"/>
    </xf>
    <xf numFmtId="4" fontId="9" fillId="2" borderId="11" xfId="0" applyNumberFormat="1" applyFont="1" applyFill="1" applyBorder="1" applyAlignment="1">
      <alignment horizontal="right"/>
    </xf>
    <xf numFmtId="2" fontId="9" fillId="10" borderId="20" xfId="0" applyNumberFormat="1" applyFont="1" applyFill="1" applyBorder="1" applyAlignment="1">
      <alignment horizontal="right"/>
    </xf>
    <xf numFmtId="4" fontId="9" fillId="0" borderId="10" xfId="0" applyNumberFormat="1" applyFont="1" applyBorder="1" applyAlignment="1">
      <alignment horizontal="right"/>
    </xf>
    <xf numFmtId="4" fontId="9" fillId="10" borderId="12" xfId="0" applyNumberFormat="1" applyFont="1" applyFill="1" applyBorder="1" applyAlignment="1">
      <alignment horizontal="right"/>
    </xf>
    <xf numFmtId="4" fontId="9" fillId="10" borderId="10" xfId="0" applyNumberFormat="1" applyFont="1" applyFill="1" applyBorder="1" applyAlignment="1">
      <alignment horizontal="right"/>
    </xf>
    <xf numFmtId="4" fontId="9" fillId="2" borderId="10" xfId="0" applyNumberFormat="1" applyFont="1" applyFill="1" applyBorder="1" applyAlignment="1">
      <alignment horizontal="right"/>
    </xf>
    <xf numFmtId="164" fontId="0" fillId="3" borderId="15" xfId="0" applyNumberFormat="1" applyFill="1" applyBorder="1" applyAlignment="1">
      <alignment horizontal="right"/>
    </xf>
    <xf numFmtId="0" fontId="9" fillId="3" borderId="17" xfId="0" applyFont="1" applyFill="1" applyBorder="1"/>
    <xf numFmtId="0" fontId="8" fillId="0" borderId="0" xfId="0" applyFont="1" applyFill="1" applyBorder="1" applyAlignment="1">
      <alignment horizontal="center" wrapText="1"/>
    </xf>
    <xf numFmtId="0" fontId="0" fillId="0" borderId="0" xfId="0" applyFill="1"/>
    <xf numFmtId="0" fontId="0" fillId="9" borderId="4" xfId="0" applyFill="1" applyBorder="1" applyAlignment="1">
      <alignment horizontal="center"/>
    </xf>
    <xf numFmtId="0" fontId="0" fillId="9" borderId="6" xfId="0" applyFill="1" applyBorder="1" applyAlignment="1">
      <alignment horizontal="center"/>
    </xf>
    <xf numFmtId="0" fontId="0" fillId="0" borderId="16" xfId="0" applyBorder="1"/>
    <xf numFmtId="0" fontId="1" fillId="0" borderId="20" xfId="0" applyFont="1" applyBorder="1"/>
    <xf numFmtId="0" fontId="0" fillId="0" borderId="20" xfId="0" applyBorder="1"/>
    <xf numFmtId="0" fontId="0" fillId="0" borderId="17" xfId="0" applyBorder="1"/>
    <xf numFmtId="9" fontId="0" fillId="0" borderId="19" xfId="3" applyFont="1" applyBorder="1"/>
    <xf numFmtId="0" fontId="0" fillId="0" borderId="21" xfId="0" applyBorder="1"/>
    <xf numFmtId="0" fontId="0" fillId="0" borderId="0" xfId="0" applyAlignment="1">
      <alignment horizontal="center" vertical="center"/>
    </xf>
    <xf numFmtId="0" fontId="0" fillId="0" borderId="0" xfId="0" applyFill="1" applyBorder="1" applyAlignment="1">
      <alignment horizontal="center" vertical="center"/>
    </xf>
    <xf numFmtId="0" fontId="0" fillId="0" borderId="0" xfId="0" applyFont="1" applyAlignment="1">
      <alignment vertical="center"/>
    </xf>
    <xf numFmtId="0" fontId="0" fillId="0" borderId="0" xfId="0" applyAlignment="1"/>
    <xf numFmtId="0" fontId="25" fillId="11" borderId="0" xfId="0" applyFont="1" applyFill="1" applyAlignment="1">
      <alignment vertical="center"/>
    </xf>
    <xf numFmtId="0" fontId="23" fillId="11" borderId="0" xfId="0" applyFont="1" applyFill="1" applyAlignment="1">
      <alignment vertical="center"/>
    </xf>
    <xf numFmtId="0" fontId="27" fillId="11" borderId="0" xfId="0" applyFont="1" applyFill="1" applyAlignment="1">
      <alignment vertical="center"/>
    </xf>
    <xf numFmtId="164" fontId="0" fillId="3" borderId="16" xfId="0" applyNumberFormat="1" applyFill="1" applyBorder="1"/>
    <xf numFmtId="0" fontId="0" fillId="3" borderId="0" xfId="0" applyFill="1" applyBorder="1"/>
    <xf numFmtId="0" fontId="1" fillId="16" borderId="10" xfId="0" applyFont="1" applyFill="1" applyBorder="1"/>
    <xf numFmtId="0" fontId="0" fillId="23" borderId="1" xfId="0" applyFill="1" applyBorder="1" applyAlignment="1">
      <alignment horizontal="center" vertical="center"/>
    </xf>
    <xf numFmtId="0" fontId="0" fillId="23" borderId="2" xfId="0" applyFill="1" applyBorder="1" applyAlignment="1">
      <alignment horizontal="center" vertical="center" wrapText="1"/>
    </xf>
    <xf numFmtId="0" fontId="1" fillId="23" borderId="3" xfId="0" applyFont="1" applyFill="1" applyBorder="1" applyAlignment="1">
      <alignment horizontal="center" vertical="center"/>
    </xf>
    <xf numFmtId="0" fontId="1" fillId="0" borderId="4" xfId="0" applyFont="1" applyBorder="1" applyAlignment="1">
      <alignment horizontal="center"/>
    </xf>
    <xf numFmtId="0" fontId="0" fillId="0" borderId="5" xfId="0" applyBorder="1" applyAlignment="1">
      <alignment horizontal="center"/>
    </xf>
    <xf numFmtId="0" fontId="1" fillId="0" borderId="6"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17" borderId="0" xfId="0" applyFill="1"/>
    <xf numFmtId="0" fontId="23" fillId="0" borderId="0" xfId="0" applyFont="1" applyAlignment="1">
      <alignment vertical="center"/>
    </xf>
    <xf numFmtId="0" fontId="23" fillId="0" borderId="0" xfId="0" applyFont="1"/>
    <xf numFmtId="2" fontId="23" fillId="0" borderId="0" xfId="0" applyNumberFormat="1" applyFont="1" applyAlignment="1">
      <alignment horizontal="center" vertical="center"/>
    </xf>
    <xf numFmtId="2" fontId="23" fillId="0" borderId="0" xfId="0" applyNumberFormat="1" applyFont="1" applyAlignment="1">
      <alignment horizontal="center"/>
    </xf>
    <xf numFmtId="0" fontId="33" fillId="11" borderId="0" xfId="0" applyFont="1" applyFill="1" applyBorder="1" applyAlignment="1">
      <alignment horizontal="center" vertical="center"/>
    </xf>
    <xf numFmtId="0" fontId="23" fillId="13" borderId="0" xfId="0" applyFont="1" applyFill="1" applyAlignment="1">
      <alignment vertical="center"/>
    </xf>
    <xf numFmtId="0" fontId="26" fillId="11" borderId="0" xfId="0" applyFont="1" applyFill="1" applyAlignment="1">
      <alignment vertical="center"/>
    </xf>
    <xf numFmtId="0" fontId="25" fillId="11" borderId="0" xfId="0" applyFont="1" applyFill="1" applyBorder="1" applyAlignment="1">
      <alignment horizontal="left" vertical="top"/>
    </xf>
    <xf numFmtId="0" fontId="25" fillId="11" borderId="0" xfId="0" applyFont="1" applyFill="1" applyBorder="1" applyAlignment="1">
      <alignment horizontal="left" vertical="center"/>
    </xf>
    <xf numFmtId="0" fontId="34" fillId="11" borderId="0" xfId="0" applyFont="1" applyFill="1" applyAlignment="1">
      <alignment vertical="center"/>
    </xf>
    <xf numFmtId="0" fontId="23" fillId="12" borderId="0" xfId="0" applyFont="1" applyFill="1" applyBorder="1" applyAlignment="1">
      <alignment vertical="center"/>
    </xf>
    <xf numFmtId="0" fontId="27" fillId="11" borderId="0" xfId="0" applyFont="1" applyFill="1" applyAlignment="1">
      <alignment horizontal="left" vertical="center"/>
    </xf>
    <xf numFmtId="0" fontId="35" fillId="12" borderId="0" xfId="0" applyFont="1" applyFill="1" applyBorder="1" applyAlignment="1">
      <alignment vertical="center"/>
    </xf>
    <xf numFmtId="0" fontId="25" fillId="11" borderId="0" xfId="0" applyFont="1" applyFill="1" applyBorder="1" applyAlignment="1">
      <alignment vertical="top"/>
    </xf>
    <xf numFmtId="0" fontId="34" fillId="11" borderId="0" xfId="0" applyFont="1" applyFill="1" applyBorder="1" applyAlignment="1">
      <alignment vertical="center"/>
    </xf>
    <xf numFmtId="4" fontId="26" fillId="11" borderId="0" xfId="0" applyNumberFormat="1" applyFont="1" applyFill="1" applyAlignment="1">
      <alignment vertical="center"/>
    </xf>
    <xf numFmtId="4" fontId="27" fillId="11" borderId="0" xfId="0" applyNumberFormat="1" applyFont="1" applyFill="1" applyAlignment="1">
      <alignment horizontal="left" vertical="center"/>
    </xf>
    <xf numFmtId="0" fontId="25" fillId="11" borderId="0" xfId="0" applyFont="1" applyFill="1" applyAlignment="1">
      <alignment horizontal="left" vertical="center"/>
    </xf>
    <xf numFmtId="0" fontId="25" fillId="11" borderId="0" xfId="0" applyFont="1" applyFill="1" applyBorder="1" applyAlignment="1">
      <alignment horizontal="justify" vertical="center"/>
    </xf>
    <xf numFmtId="0" fontId="0" fillId="22" borderId="24" xfId="0" applyFont="1" applyFill="1" applyBorder="1" applyAlignment="1">
      <alignment horizontal="center" vertical="center" wrapText="1"/>
    </xf>
    <xf numFmtId="0" fontId="0" fillId="22" borderId="16" xfId="0" applyFill="1" applyBorder="1" applyAlignment="1">
      <alignment horizontal="center" vertical="center" wrapText="1"/>
    </xf>
    <xf numFmtId="0" fontId="9" fillId="22" borderId="16" xfId="0" applyFont="1" applyFill="1" applyBorder="1" applyAlignment="1">
      <alignment horizontal="center" vertical="center" wrapText="1"/>
    </xf>
    <xf numFmtId="0" fontId="4" fillId="12" borderId="0" xfId="0" applyFont="1" applyFill="1" applyBorder="1" applyAlignment="1">
      <alignment vertical="center" wrapText="1"/>
    </xf>
    <xf numFmtId="0" fontId="25" fillId="11" borderId="0" xfId="0" applyFont="1" applyFill="1" applyAlignment="1">
      <alignment horizontal="left" vertical="top"/>
    </xf>
    <xf numFmtId="0" fontId="37" fillId="11" borderId="0" xfId="0" applyFont="1" applyFill="1" applyAlignment="1">
      <alignment vertical="center"/>
    </xf>
    <xf numFmtId="0" fontId="35" fillId="12" borderId="0" xfId="0" applyFont="1" applyFill="1" applyBorder="1" applyAlignment="1">
      <alignment horizontal="left" vertical="center"/>
    </xf>
    <xf numFmtId="0" fontId="23" fillId="12" borderId="0" xfId="0" applyFont="1" applyFill="1" applyBorder="1" applyAlignment="1">
      <alignment horizontal="center" vertical="center"/>
    </xf>
    <xf numFmtId="0" fontId="13" fillId="11" borderId="0" xfId="0" applyFont="1" applyFill="1" applyBorder="1" applyAlignment="1">
      <alignment horizontal="center" vertical="center"/>
    </xf>
    <xf numFmtId="0" fontId="0" fillId="26" borderId="0" xfId="0" applyFill="1"/>
    <xf numFmtId="0" fontId="9" fillId="26" borderId="0" xfId="0" applyFont="1" applyFill="1"/>
    <xf numFmtId="0" fontId="1" fillId="26" borderId="0" xfId="0" applyFont="1" applyFill="1"/>
    <xf numFmtId="0" fontId="1" fillId="26" borderId="0" xfId="0" quotePrefix="1" applyFont="1" applyFill="1"/>
    <xf numFmtId="0" fontId="37" fillId="11" borderId="0" xfId="0" applyFont="1" applyFill="1" applyAlignment="1">
      <alignment horizontal="left" vertical="center" indent="1"/>
    </xf>
    <xf numFmtId="0" fontId="14" fillId="11" borderId="0" xfId="0" applyFont="1" applyFill="1" applyBorder="1" applyAlignment="1">
      <alignment horizontal="left" vertical="top" indent="1"/>
    </xf>
    <xf numFmtId="0" fontId="38" fillId="11" borderId="0" xfId="0" applyFont="1" applyFill="1" applyAlignment="1">
      <alignment horizontal="left" vertical="center" indent="1"/>
    </xf>
    <xf numFmtId="0" fontId="14" fillId="11" borderId="0" xfId="0" applyFont="1" applyFill="1" applyAlignment="1">
      <alignment horizontal="left" vertical="center" indent="1"/>
    </xf>
    <xf numFmtId="0" fontId="12" fillId="11" borderId="0" xfId="0" applyFont="1" applyFill="1" applyBorder="1" applyAlignment="1">
      <alignment horizontal="left" vertical="center" indent="1"/>
    </xf>
    <xf numFmtId="4" fontId="38" fillId="11" borderId="0" xfId="0" applyNumberFormat="1" applyFont="1" applyFill="1" applyAlignment="1">
      <alignment horizontal="left" vertical="center" indent="1"/>
    </xf>
    <xf numFmtId="0" fontId="14" fillId="11" borderId="0" xfId="0" applyFont="1" applyFill="1" applyAlignment="1">
      <alignment horizontal="left" vertical="top" indent="1"/>
    </xf>
    <xf numFmtId="0" fontId="40" fillId="25" borderId="0" xfId="0" applyFont="1" applyFill="1"/>
    <xf numFmtId="0" fontId="0" fillId="25" borderId="0" xfId="0" applyFill="1"/>
    <xf numFmtId="0" fontId="16" fillId="0" borderId="0" xfId="0" applyFont="1"/>
    <xf numFmtId="0" fontId="12" fillId="11" borderId="0" xfId="0" applyFont="1" applyFill="1" applyAlignment="1">
      <alignment horizontal="left" vertical="center" wrapText="1"/>
    </xf>
    <xf numFmtId="0" fontId="0" fillId="0" borderId="0" xfId="0" applyAlignment="1">
      <alignment vertical="center"/>
    </xf>
    <xf numFmtId="4" fontId="10" fillId="17" borderId="0" xfId="0" applyNumberFormat="1" applyFont="1" applyFill="1" applyBorder="1" applyAlignment="1">
      <alignment horizontal="center" vertical="center"/>
    </xf>
    <xf numFmtId="0" fontId="1" fillId="14" borderId="20" xfId="0" applyFont="1" applyFill="1" applyBorder="1" applyAlignment="1">
      <alignment horizontal="center" wrapText="1"/>
    </xf>
    <xf numFmtId="4" fontId="10" fillId="17" borderId="5" xfId="0" applyNumberFormat="1" applyFont="1" applyFill="1" applyBorder="1" applyAlignment="1">
      <alignment horizontal="center" vertical="center"/>
    </xf>
    <xf numFmtId="3" fontId="0" fillId="9" borderId="23" xfId="0" applyNumberFormat="1" applyFont="1" applyFill="1" applyBorder="1" applyAlignment="1" applyProtection="1">
      <alignment horizontal="left" vertical="top" wrapText="1"/>
      <protection locked="0"/>
    </xf>
    <xf numFmtId="0" fontId="9" fillId="6" borderId="0" xfId="0" applyFont="1" applyFill="1" applyBorder="1" applyAlignment="1">
      <alignment horizontal="left" vertical="center"/>
    </xf>
    <xf numFmtId="0" fontId="12" fillId="11" borderId="0" xfId="0" applyFont="1" applyFill="1" applyAlignment="1">
      <alignment horizontal="left" vertical="center" wrapText="1"/>
    </xf>
    <xf numFmtId="0" fontId="14" fillId="11" borderId="0" xfId="0" applyFont="1" applyFill="1" applyBorder="1" applyAlignment="1">
      <alignment vertical="top"/>
    </xf>
    <xf numFmtId="0" fontId="36" fillId="6" borderId="0" xfId="0" applyFont="1" applyFill="1" applyBorder="1" applyAlignment="1">
      <alignment horizontal="center" vertical="center" wrapText="1"/>
    </xf>
    <xf numFmtId="0" fontId="9" fillId="13" borderId="0" xfId="0" applyFont="1" applyFill="1" applyBorder="1" applyAlignment="1">
      <alignment horizontal="right" vertical="center"/>
    </xf>
    <xf numFmtId="0" fontId="42" fillId="13" borderId="0" xfId="0" applyFont="1" applyFill="1" applyBorder="1" applyAlignment="1">
      <alignment horizontal="left" vertical="center"/>
    </xf>
    <xf numFmtId="2" fontId="0" fillId="19" borderId="0" xfId="0" applyNumberFormat="1" applyFill="1" applyBorder="1" applyAlignment="1">
      <alignment horizontal="center"/>
    </xf>
    <xf numFmtId="2" fontId="0" fillId="19" borderId="18" xfId="0" applyNumberFormat="1" applyFill="1" applyBorder="1" applyAlignment="1">
      <alignment horizontal="center"/>
    </xf>
    <xf numFmtId="0" fontId="39" fillId="13" borderId="0" xfId="0" applyFont="1" applyFill="1" applyBorder="1" applyAlignment="1">
      <alignment horizontal="left" vertical="center"/>
    </xf>
    <xf numFmtId="0" fontId="43" fillId="26" borderId="0" xfId="0" applyFont="1" applyFill="1"/>
    <xf numFmtId="0" fontId="44" fillId="26" borderId="0" xfId="0" applyFont="1" applyFill="1"/>
    <xf numFmtId="0" fontId="45" fillId="26" borderId="0" xfId="0" applyFont="1" applyFill="1"/>
    <xf numFmtId="0" fontId="38" fillId="6" borderId="0" xfId="0" applyFont="1" applyFill="1" applyBorder="1" applyAlignment="1">
      <alignment horizontal="left" vertical="center"/>
    </xf>
    <xf numFmtId="4" fontId="0" fillId="0" borderId="22" xfId="0" applyNumberFormat="1" applyFill="1" applyBorder="1" applyAlignment="1">
      <alignment horizontal="right"/>
    </xf>
    <xf numFmtId="0" fontId="1" fillId="3" borderId="22" xfId="0" applyFont="1" applyFill="1" applyBorder="1"/>
    <xf numFmtId="0" fontId="1" fillId="3" borderId="0" xfId="0" applyFont="1" applyFill="1" applyBorder="1"/>
    <xf numFmtId="0" fontId="23" fillId="9" borderId="22" xfId="0" applyFont="1" applyFill="1" applyBorder="1"/>
    <xf numFmtId="0" fontId="23" fillId="9" borderId="0" xfId="0" applyFont="1" applyFill="1" applyBorder="1"/>
    <xf numFmtId="0" fontId="23" fillId="9" borderId="18" xfId="0" applyFont="1" applyFill="1" applyBorder="1" applyAlignment="1">
      <alignment horizontal="center"/>
    </xf>
    <xf numFmtId="169" fontId="23" fillId="0" borderId="22" xfId="0" applyNumberFormat="1" applyFont="1" applyBorder="1"/>
    <xf numFmtId="2" fontId="23" fillId="16" borderId="22" xfId="0" applyNumberFormat="1" applyFont="1" applyFill="1" applyBorder="1" applyAlignment="1">
      <alignment horizontal="center"/>
    </xf>
    <xf numFmtId="2" fontId="23" fillId="16" borderId="0" xfId="0" applyNumberFormat="1" applyFont="1" applyFill="1" applyBorder="1" applyAlignment="1">
      <alignment horizontal="center"/>
    </xf>
    <xf numFmtId="2" fontId="23" fillId="0" borderId="18" xfId="0" applyNumberFormat="1" applyFont="1" applyBorder="1" applyAlignment="1">
      <alignment horizontal="center"/>
    </xf>
    <xf numFmtId="2" fontId="23" fillId="0" borderId="14" xfId="0" applyNumberFormat="1" applyFont="1" applyBorder="1" applyAlignment="1">
      <alignment horizontal="center"/>
    </xf>
    <xf numFmtId="2" fontId="23" fillId="16" borderId="18" xfId="0" applyNumberFormat="1" applyFont="1" applyFill="1" applyBorder="1" applyAlignment="1">
      <alignment horizontal="center"/>
    </xf>
    <xf numFmtId="2" fontId="23" fillId="3" borderId="14" xfId="0" applyNumberFormat="1" applyFont="1" applyFill="1" applyBorder="1" applyAlignment="1">
      <alignment horizontal="center"/>
    </xf>
    <xf numFmtId="2" fontId="23" fillId="3" borderId="0" xfId="0" applyNumberFormat="1" applyFont="1" applyFill="1" applyBorder="1" applyAlignment="1">
      <alignment horizontal="center"/>
    </xf>
    <xf numFmtId="2" fontId="23" fillId="3" borderId="18" xfId="0" applyNumberFormat="1" applyFont="1" applyFill="1" applyBorder="1" applyAlignment="1">
      <alignment horizontal="center"/>
    </xf>
    <xf numFmtId="2" fontId="23" fillId="19" borderId="0" xfId="0" applyNumberFormat="1" applyFont="1" applyFill="1" applyBorder="1" applyAlignment="1">
      <alignment horizontal="center"/>
    </xf>
    <xf numFmtId="2" fontId="23" fillId="15" borderId="22" xfId="0" applyNumberFormat="1" applyFont="1" applyFill="1" applyBorder="1" applyAlignment="1">
      <alignment horizontal="center"/>
    </xf>
    <xf numFmtId="2" fontId="23" fillId="15" borderId="18" xfId="0" applyNumberFormat="1" applyFont="1" applyFill="1" applyBorder="1" applyAlignment="1">
      <alignment horizontal="center"/>
    </xf>
    <xf numFmtId="2" fontId="23" fillId="19" borderId="18" xfId="0" applyNumberFormat="1" applyFont="1" applyFill="1" applyBorder="1" applyAlignment="1">
      <alignment horizontal="center"/>
    </xf>
    <xf numFmtId="0" fontId="23" fillId="15" borderId="22" xfId="0" applyFont="1" applyFill="1" applyBorder="1"/>
    <xf numFmtId="0" fontId="23" fillId="15" borderId="0" xfId="0" applyFont="1" applyFill="1" applyBorder="1"/>
    <xf numFmtId="0" fontId="23" fillId="15" borderId="18" xfId="0" applyFont="1" applyFill="1" applyBorder="1" applyAlignment="1">
      <alignment horizontal="center"/>
    </xf>
    <xf numFmtId="169" fontId="23" fillId="15" borderId="22" xfId="0" applyNumberFormat="1" applyFont="1" applyFill="1" applyBorder="1"/>
    <xf numFmtId="2" fontId="23" fillId="15" borderId="14" xfId="0" applyNumberFormat="1" applyFont="1" applyFill="1" applyBorder="1" applyAlignment="1">
      <alignment horizontal="center"/>
    </xf>
    <xf numFmtId="2" fontId="23" fillId="0" borderId="0" xfId="0" applyNumberFormat="1" applyFont="1" applyBorder="1" applyAlignment="1">
      <alignment horizontal="center"/>
    </xf>
    <xf numFmtId="0" fontId="23" fillId="9" borderId="19" xfId="0" applyFont="1" applyFill="1" applyBorder="1"/>
    <xf numFmtId="0" fontId="23" fillId="9" borderId="20" xfId="0" applyFont="1" applyFill="1" applyBorder="1"/>
    <xf numFmtId="0" fontId="23" fillId="9" borderId="21" xfId="0" applyFont="1" applyFill="1" applyBorder="1" applyAlignment="1">
      <alignment horizontal="center"/>
    </xf>
    <xf numFmtId="169" fontId="23" fillId="0" borderId="19" xfId="0" applyNumberFormat="1" applyFont="1" applyBorder="1"/>
    <xf numFmtId="2" fontId="23" fillId="16" borderId="19" xfId="0" applyNumberFormat="1" applyFont="1" applyFill="1" applyBorder="1" applyAlignment="1">
      <alignment horizontal="center"/>
    </xf>
    <xf numFmtId="2" fontId="23" fillId="16" borderId="20" xfId="0" applyNumberFormat="1" applyFont="1" applyFill="1" applyBorder="1" applyAlignment="1">
      <alignment horizontal="center"/>
    </xf>
    <xf numFmtId="2" fontId="23" fillId="0" borderId="21" xfId="0" applyNumberFormat="1" applyFont="1" applyBorder="1" applyAlignment="1">
      <alignment horizontal="center"/>
    </xf>
    <xf numFmtId="2" fontId="23" fillId="0" borderId="15" xfId="0" applyNumberFormat="1" applyFont="1" applyBorder="1" applyAlignment="1">
      <alignment horizontal="center"/>
    </xf>
    <xf numFmtId="2" fontId="23" fillId="16" borderId="21" xfId="0" applyNumberFormat="1" applyFont="1" applyFill="1" applyBorder="1" applyAlignment="1">
      <alignment horizontal="center"/>
    </xf>
    <xf numFmtId="2" fontId="23" fillId="3" borderId="15" xfId="0" applyNumberFormat="1" applyFont="1" applyFill="1" applyBorder="1" applyAlignment="1">
      <alignment horizontal="center"/>
    </xf>
    <xf numFmtId="2" fontId="23" fillId="3" borderId="20" xfId="0" applyNumberFormat="1" applyFont="1" applyFill="1" applyBorder="1" applyAlignment="1">
      <alignment horizontal="center"/>
    </xf>
    <xf numFmtId="2" fontId="23" fillId="3" borderId="21" xfId="0" applyNumberFormat="1" applyFont="1" applyFill="1" applyBorder="1" applyAlignment="1">
      <alignment horizontal="center"/>
    </xf>
    <xf numFmtId="2" fontId="23" fillId="0" borderId="20" xfId="0" applyNumberFormat="1" applyFont="1" applyBorder="1" applyAlignment="1">
      <alignment horizontal="center"/>
    </xf>
    <xf numFmtId="0" fontId="23" fillId="9" borderId="0" xfId="0" applyFont="1" applyFill="1" applyBorder="1" applyAlignment="1">
      <alignment horizontal="center"/>
    </xf>
    <xf numFmtId="0" fontId="23" fillId="9" borderId="22" xfId="0" applyFont="1" applyFill="1" applyBorder="1" applyAlignment="1">
      <alignment horizontal="center"/>
    </xf>
    <xf numFmtId="165" fontId="23" fillId="9" borderId="18" xfId="0" applyNumberFormat="1" applyFont="1" applyFill="1" applyBorder="1" applyAlignment="1">
      <alignment horizontal="center"/>
    </xf>
    <xf numFmtId="2" fontId="23" fillId="9" borderId="0" xfId="0" applyNumberFormat="1" applyFont="1" applyFill="1" applyBorder="1" applyAlignment="1">
      <alignment horizontal="center"/>
    </xf>
    <xf numFmtId="2" fontId="23" fillId="9" borderId="22" xfId="0" applyNumberFormat="1" applyFont="1" applyFill="1" applyBorder="1" applyAlignment="1">
      <alignment horizontal="center"/>
    </xf>
    <xf numFmtId="2" fontId="23" fillId="9" borderId="18" xfId="0" applyNumberFormat="1" applyFont="1" applyFill="1" applyBorder="1" applyAlignment="1">
      <alignment horizontal="center"/>
    </xf>
    <xf numFmtId="0" fontId="23" fillId="0" borderId="0" xfId="0" applyFont="1" applyAlignment="1">
      <alignment horizontal="center"/>
    </xf>
    <xf numFmtId="0" fontId="23" fillId="9" borderId="0" xfId="0" applyFont="1" applyFill="1"/>
    <xf numFmtId="0" fontId="23" fillId="15" borderId="0" xfId="0" applyFont="1" applyFill="1" applyBorder="1" applyAlignment="1">
      <alignment horizontal="center"/>
    </xf>
    <xf numFmtId="0" fontId="23" fillId="15" borderId="22" xfId="0" applyFont="1" applyFill="1" applyBorder="1" applyAlignment="1">
      <alignment horizontal="center"/>
    </xf>
    <xf numFmtId="165" fontId="23" fillId="15" borderId="18" xfId="0" applyNumberFormat="1" applyFont="1" applyFill="1" applyBorder="1" applyAlignment="1">
      <alignment horizontal="center"/>
    </xf>
    <xf numFmtId="2" fontId="23" fillId="15" borderId="0" xfId="0" applyNumberFormat="1" applyFont="1" applyFill="1" applyBorder="1" applyAlignment="1">
      <alignment horizontal="center"/>
    </xf>
    <xf numFmtId="0" fontId="23" fillId="9" borderId="20" xfId="0" applyFont="1" applyFill="1" applyBorder="1" applyAlignment="1">
      <alignment horizontal="center"/>
    </xf>
    <xf numFmtId="0" fontId="23" fillId="9" borderId="19" xfId="0" applyFont="1" applyFill="1" applyBorder="1" applyAlignment="1">
      <alignment horizontal="center"/>
    </xf>
    <xf numFmtId="165" fontId="23" fillId="9" borderId="21" xfId="0" applyNumberFormat="1" applyFont="1" applyFill="1" applyBorder="1" applyAlignment="1">
      <alignment horizontal="center"/>
    </xf>
    <xf numFmtId="2" fontId="23" fillId="9" borderId="20" xfId="0" applyNumberFormat="1" applyFont="1" applyFill="1" applyBorder="1" applyAlignment="1">
      <alignment horizontal="center"/>
    </xf>
    <xf numFmtId="2" fontId="23" fillId="9" borderId="19" xfId="0" applyNumberFormat="1" applyFont="1" applyFill="1" applyBorder="1" applyAlignment="1">
      <alignment horizontal="center"/>
    </xf>
    <xf numFmtId="2" fontId="23" fillId="9" borderId="21" xfId="0" applyNumberFormat="1" applyFont="1" applyFill="1" applyBorder="1" applyAlignment="1">
      <alignment horizontal="center"/>
    </xf>
    <xf numFmtId="0" fontId="12" fillId="2" borderId="14" xfId="0" applyFont="1" applyFill="1" applyBorder="1" applyAlignment="1">
      <alignment horizontal="center" vertical="center"/>
    </xf>
    <xf numFmtId="0" fontId="1" fillId="17" borderId="0" xfId="0" applyFont="1" applyFill="1"/>
    <xf numFmtId="0" fontId="0" fillId="3" borderId="22" xfId="0" applyFill="1" applyBorder="1" applyAlignment="1">
      <alignment horizontal="center"/>
    </xf>
    <xf numFmtId="0" fontId="0" fillId="9" borderId="5" xfId="0" applyFill="1" applyBorder="1" applyAlignment="1">
      <alignment horizontal="center"/>
    </xf>
    <xf numFmtId="0" fontId="0" fillId="9" borderId="8" xfId="0" applyFill="1" applyBorder="1" applyAlignment="1">
      <alignment horizontal="center"/>
    </xf>
    <xf numFmtId="0" fontId="9" fillId="2" borderId="24" xfId="0" applyFont="1" applyFill="1" applyBorder="1" applyAlignment="1">
      <alignment horizontal="center"/>
    </xf>
    <xf numFmtId="0" fontId="48" fillId="2" borderId="14" xfId="0" applyFont="1" applyFill="1" applyBorder="1" applyAlignment="1">
      <alignment horizontal="center" vertical="center"/>
    </xf>
    <xf numFmtId="165" fontId="0" fillId="2" borderId="13" xfId="0" applyNumberFormat="1" applyFill="1" applyBorder="1" applyAlignment="1">
      <alignment horizontal="right"/>
    </xf>
    <xf numFmtId="165" fontId="0" fillId="2" borderId="14" xfId="0" applyNumberFormat="1" applyFill="1" applyBorder="1" applyAlignment="1">
      <alignment horizontal="right"/>
    </xf>
    <xf numFmtId="171" fontId="9" fillId="2" borderId="12" xfId="0" applyNumberFormat="1" applyFont="1" applyFill="1" applyBorder="1" applyAlignment="1">
      <alignment horizontal="right"/>
    </xf>
    <xf numFmtId="171" fontId="9" fillId="2" borderId="9" xfId="0" applyNumberFormat="1" applyFont="1" applyFill="1" applyBorder="1" applyAlignment="1">
      <alignment horizontal="right"/>
    </xf>
    <xf numFmtId="2" fontId="0" fillId="26" borderId="0" xfId="0" applyNumberFormat="1" applyFill="1" applyBorder="1" applyAlignment="1">
      <alignment horizontal="center"/>
    </xf>
    <xf numFmtId="0" fontId="0" fillId="26" borderId="0" xfId="0" applyFill="1" applyBorder="1" applyAlignment="1">
      <alignment horizontal="center"/>
    </xf>
    <xf numFmtId="0" fontId="12" fillId="26" borderId="0" xfId="0" applyFont="1" applyFill="1"/>
    <xf numFmtId="0" fontId="0" fillId="11" borderId="1" xfId="0" applyFill="1" applyBorder="1" applyAlignment="1">
      <alignment horizontal="center" vertical="center"/>
    </xf>
    <xf numFmtId="0" fontId="0" fillId="11" borderId="2" xfId="0" applyFill="1" applyBorder="1" applyAlignment="1">
      <alignment horizontal="center" vertical="center" wrapText="1"/>
    </xf>
    <xf numFmtId="0" fontId="0" fillId="11" borderId="3" xfId="0" applyFill="1" applyBorder="1" applyAlignment="1">
      <alignment horizontal="center" vertical="center" wrapText="1"/>
    </xf>
    <xf numFmtId="0" fontId="1" fillId="0" borderId="4" xfId="0" applyFont="1" applyBorder="1" applyAlignment="1">
      <alignment horizontal="left"/>
    </xf>
    <xf numFmtId="165" fontId="0" fillId="0" borderId="0" xfId="0" applyNumberFormat="1" applyBorder="1" applyAlignment="1">
      <alignment horizontal="center"/>
    </xf>
    <xf numFmtId="164" fontId="0" fillId="0" borderId="0" xfId="0" applyNumberFormat="1" applyBorder="1" applyAlignment="1">
      <alignment horizontal="center"/>
    </xf>
    <xf numFmtId="0" fontId="1" fillId="0" borderId="6" xfId="0" applyFont="1" applyBorder="1"/>
    <xf numFmtId="0" fontId="0" fillId="0" borderId="7" xfId="0" applyBorder="1"/>
    <xf numFmtId="0" fontId="1" fillId="0" borderId="8" xfId="0" applyFont="1" applyBorder="1" applyAlignment="1">
      <alignment horizontal="center"/>
    </xf>
    <xf numFmtId="0" fontId="0" fillId="0" borderId="0" xfId="0" applyAlignment="1">
      <alignment vertical="center"/>
    </xf>
    <xf numFmtId="0" fontId="0" fillId="0" borderId="0" xfId="0" applyAlignment="1"/>
    <xf numFmtId="0" fontId="0" fillId="5" borderId="0" xfId="0" applyFont="1" applyFill="1" applyAlignment="1">
      <alignment vertical="center" wrapText="1"/>
    </xf>
    <xf numFmtId="0" fontId="0" fillId="28" borderId="22" xfId="0" applyFill="1" applyBorder="1" applyAlignment="1">
      <alignment horizontal="center"/>
    </xf>
    <xf numFmtId="0" fontId="10" fillId="0" borderId="0" xfId="0" applyFont="1"/>
    <xf numFmtId="165" fontId="0" fillId="0" borderId="0" xfId="0" applyNumberFormat="1" applyAlignment="1">
      <alignment horizontal="center"/>
    </xf>
    <xf numFmtId="0" fontId="0" fillId="0" borderId="0" xfId="0" applyAlignment="1">
      <alignment vertical="center"/>
    </xf>
    <xf numFmtId="0" fontId="0" fillId="0" borderId="0" xfId="0" applyAlignment="1">
      <alignment horizontal="center" vertical="center"/>
    </xf>
    <xf numFmtId="0" fontId="0" fillId="0" borderId="0" xfId="0" quotePrefix="1"/>
    <xf numFmtId="2" fontId="0" fillId="28" borderId="22" xfId="0" applyNumberFormat="1" applyFill="1" applyBorder="1" applyAlignment="1">
      <alignment horizontal="center"/>
    </xf>
    <xf numFmtId="0" fontId="0" fillId="0" borderId="0" xfId="0" applyFill="1" applyAlignment="1">
      <alignment horizontal="center" vertical="center"/>
    </xf>
    <xf numFmtId="0" fontId="0" fillId="0" borderId="0" xfId="0" applyFill="1" applyAlignment="1">
      <alignment vertical="center"/>
    </xf>
    <xf numFmtId="2" fontId="0" fillId="0" borderId="0" xfId="0" applyNumberFormat="1" applyFill="1" applyAlignment="1">
      <alignment horizontal="center" vertical="center"/>
    </xf>
    <xf numFmtId="165" fontId="0" fillId="0" borderId="0" xfId="0" applyNumberFormat="1" applyFill="1" applyAlignment="1">
      <alignment horizontal="center" vertical="center"/>
    </xf>
    <xf numFmtId="0" fontId="0" fillId="0" borderId="0" xfId="0" applyFill="1" applyAlignment="1">
      <alignment horizontal="right"/>
    </xf>
    <xf numFmtId="0" fontId="0" fillId="0" borderId="0" xfId="0" applyProtection="1">
      <protection hidden="1"/>
    </xf>
    <xf numFmtId="0" fontId="50" fillId="0" borderId="0" xfId="0" applyFont="1" applyProtection="1">
      <protection hidden="1"/>
    </xf>
    <xf numFmtId="0" fontId="51" fillId="0" borderId="0" xfId="0" applyFont="1" applyProtection="1">
      <protection hidden="1"/>
    </xf>
    <xf numFmtId="0" fontId="50" fillId="0" borderId="0" xfId="0" applyFont="1" applyAlignment="1" applyProtection="1">
      <alignment horizontal="center"/>
      <protection hidden="1"/>
    </xf>
    <xf numFmtId="0" fontId="0" fillId="0" borderId="0" xfId="0" applyFill="1" applyProtection="1">
      <protection hidden="1"/>
    </xf>
    <xf numFmtId="0" fontId="50" fillId="0" borderId="0" xfId="0" applyFont="1" applyFill="1" applyAlignment="1" applyProtection="1">
      <alignment horizontal="center"/>
      <protection hidden="1"/>
    </xf>
    <xf numFmtId="0" fontId="50" fillId="0" borderId="0" xfId="0" applyFont="1" applyFill="1" applyProtection="1">
      <protection hidden="1"/>
    </xf>
    <xf numFmtId="0" fontId="0" fillId="7" borderId="0" xfId="0" applyFont="1" applyFill="1" applyBorder="1" applyAlignment="1" applyProtection="1">
      <alignment vertical="center"/>
      <protection hidden="1"/>
    </xf>
    <xf numFmtId="4" fontId="1" fillId="16" borderId="23" xfId="0" applyNumberFormat="1" applyFont="1" applyFill="1" applyBorder="1" applyAlignment="1" applyProtection="1">
      <alignment horizontal="center" vertical="center"/>
    </xf>
    <xf numFmtId="0" fontId="52" fillId="13" borderId="0" xfId="0" applyFont="1" applyFill="1" applyBorder="1" applyAlignment="1" applyProtection="1">
      <alignment vertical="center"/>
      <protection hidden="1"/>
    </xf>
    <xf numFmtId="0" fontId="53" fillId="13" borderId="0" xfId="0" applyFont="1" applyFill="1" applyBorder="1" applyAlignment="1" applyProtection="1">
      <alignment vertical="center"/>
      <protection hidden="1"/>
    </xf>
    <xf numFmtId="0" fontId="54" fillId="13" borderId="0" xfId="0" applyFont="1" applyFill="1" applyBorder="1" applyAlignment="1" applyProtection="1">
      <alignment vertical="center"/>
      <protection hidden="1"/>
    </xf>
    <xf numFmtId="0" fontId="54" fillId="17" borderId="0" xfId="0" applyFont="1" applyFill="1" applyBorder="1" applyAlignment="1" applyProtection="1">
      <alignment vertical="center"/>
      <protection hidden="1"/>
    </xf>
    <xf numFmtId="0" fontId="55" fillId="11" borderId="0" xfId="0" applyFont="1" applyFill="1" applyBorder="1" applyAlignment="1">
      <alignment horizontal="center" vertical="center"/>
    </xf>
    <xf numFmtId="0" fontId="0" fillId="0" borderId="18" xfId="0" applyBorder="1"/>
    <xf numFmtId="0" fontId="1" fillId="24" borderId="9" xfId="0" applyFont="1" applyFill="1" applyBorder="1" applyAlignment="1">
      <alignment vertical="center" wrapText="1"/>
    </xf>
    <xf numFmtId="4" fontId="56" fillId="24" borderId="9" xfId="0" applyNumberFormat="1" applyFont="1" applyFill="1" applyBorder="1" applyAlignment="1">
      <alignment horizontal="center" vertical="center"/>
    </xf>
    <xf numFmtId="0" fontId="0" fillId="0" borderId="9" xfId="0" applyBorder="1" applyAlignment="1">
      <alignment wrapText="1"/>
    </xf>
    <xf numFmtId="0" fontId="0" fillId="0" borderId="9" xfId="0" applyBorder="1" applyAlignment="1">
      <alignment horizontal="center" vertical="center"/>
    </xf>
    <xf numFmtId="0" fontId="0" fillId="0" borderId="9" xfId="0" applyBorder="1" applyAlignment="1">
      <alignment vertical="center" wrapText="1"/>
    </xf>
    <xf numFmtId="2" fontId="0" fillId="0" borderId="9" xfId="0" applyNumberFormat="1" applyBorder="1" applyAlignment="1">
      <alignment horizontal="center" vertical="center"/>
    </xf>
    <xf numFmtId="0" fontId="24" fillId="0" borderId="9" xfId="0" applyFont="1" applyBorder="1" applyAlignment="1">
      <alignment vertical="center" wrapText="1"/>
    </xf>
    <xf numFmtId="0" fontId="0" fillId="0" borderId="9" xfId="0" applyBorder="1"/>
    <xf numFmtId="0" fontId="0" fillId="0" borderId="9" xfId="0" applyFill="1" applyBorder="1" applyAlignment="1">
      <alignment wrapText="1"/>
    </xf>
    <xf numFmtId="0" fontId="0" fillId="0" borderId="9" xfId="0" applyFill="1" applyBorder="1" applyAlignment="1">
      <alignment horizontal="center" vertical="center"/>
    </xf>
    <xf numFmtId="0" fontId="0" fillId="0" borderId="9" xfId="0" applyFill="1" applyBorder="1" applyAlignment="1">
      <alignment vertical="center" wrapText="1"/>
    </xf>
    <xf numFmtId="2" fontId="0" fillId="0" borderId="9" xfId="0" applyNumberFormat="1" applyFill="1" applyBorder="1" applyAlignment="1">
      <alignment horizontal="center" vertical="center"/>
    </xf>
    <xf numFmtId="0" fontId="58" fillId="0" borderId="9" xfId="4" applyFont="1" applyBorder="1" applyAlignment="1">
      <alignment vertical="center" wrapText="1"/>
    </xf>
    <xf numFmtId="165" fontId="0" fillId="0" borderId="9" xfId="0" applyNumberFormat="1" applyFill="1" applyBorder="1" applyAlignment="1">
      <alignment horizontal="center" vertical="center"/>
    </xf>
    <xf numFmtId="0" fontId="59" fillId="9" borderId="9" xfId="4" applyFont="1" applyFill="1" applyBorder="1" applyAlignment="1">
      <alignment vertical="center" wrapText="1"/>
    </xf>
    <xf numFmtId="0" fontId="0" fillId="0" borderId="9" xfId="0" applyBorder="1" applyAlignment="1">
      <alignment horizontal="center"/>
    </xf>
    <xf numFmtId="0" fontId="0" fillId="0" borderId="9" xfId="0" applyFont="1" applyBorder="1" applyAlignment="1">
      <alignment vertical="center" wrapText="1"/>
    </xf>
    <xf numFmtId="0" fontId="24" fillId="0" borderId="0" xfId="0" applyFont="1" applyAlignment="1">
      <alignment vertical="center" wrapText="1"/>
    </xf>
    <xf numFmtId="0" fontId="0" fillId="0" borderId="0" xfId="0" applyFont="1"/>
    <xf numFmtId="0" fontId="0" fillId="0" borderId="0" xfId="0" applyFill="1" applyBorder="1" applyAlignment="1">
      <alignment horizontal="center"/>
    </xf>
    <xf numFmtId="0" fontId="0" fillId="0" borderId="24" xfId="0" applyFill="1" applyBorder="1" applyAlignment="1">
      <alignment horizontal="center"/>
    </xf>
    <xf numFmtId="165" fontId="0" fillId="0" borderId="17" xfId="0" applyNumberFormat="1" applyFill="1" applyBorder="1" applyAlignment="1">
      <alignment horizontal="center"/>
    </xf>
    <xf numFmtId="0" fontId="0" fillId="0" borderId="22" xfId="0" applyFill="1" applyBorder="1" applyAlignment="1">
      <alignment horizontal="center"/>
    </xf>
    <xf numFmtId="0" fontId="0" fillId="0" borderId="18" xfId="0" applyFill="1" applyBorder="1" applyAlignment="1">
      <alignment horizontal="center"/>
    </xf>
    <xf numFmtId="2" fontId="0" fillId="0" borderId="16" xfId="0" applyNumberFormat="1" applyFill="1" applyBorder="1" applyAlignment="1">
      <alignment horizontal="center"/>
    </xf>
    <xf numFmtId="165" fontId="0" fillId="0" borderId="18" xfId="0" applyNumberFormat="1" applyFill="1" applyBorder="1" applyAlignment="1">
      <alignment horizontal="center"/>
    </xf>
    <xf numFmtId="2" fontId="0" fillId="0" borderId="0" xfId="0" applyNumberFormat="1" applyFill="1" applyBorder="1" applyAlignment="1">
      <alignment horizontal="center"/>
    </xf>
    <xf numFmtId="0" fontId="0" fillId="0" borderId="17" xfId="0" applyFill="1" applyBorder="1" applyAlignment="1">
      <alignment horizontal="center"/>
    </xf>
    <xf numFmtId="2" fontId="23" fillId="0" borderId="0" xfId="0" applyNumberFormat="1" applyFont="1" applyFill="1" applyAlignment="1">
      <alignment horizontal="center" vertical="center"/>
    </xf>
    <xf numFmtId="0" fontId="23" fillId="0" borderId="18" xfId="0" applyFont="1" applyFill="1" applyBorder="1" applyAlignment="1">
      <alignment horizontal="center"/>
    </xf>
    <xf numFmtId="0" fontId="23" fillId="0" borderId="22" xfId="0" applyFont="1" applyFill="1" applyBorder="1" applyAlignment="1">
      <alignment horizontal="center"/>
    </xf>
    <xf numFmtId="2" fontId="23" fillId="0" borderId="0" xfId="0" applyNumberFormat="1" applyFont="1" applyFill="1" applyBorder="1" applyAlignment="1">
      <alignment horizontal="center"/>
    </xf>
    <xf numFmtId="2" fontId="0" fillId="0" borderId="17" xfId="0" applyNumberFormat="1" applyFill="1" applyBorder="1" applyAlignment="1">
      <alignment horizontal="center"/>
    </xf>
    <xf numFmtId="0" fontId="0" fillId="0" borderId="0" xfId="0" applyFill="1" applyAlignment="1">
      <alignment horizontal="center"/>
    </xf>
    <xf numFmtId="0" fontId="0" fillId="0" borderId="16" xfId="0" applyFill="1" applyBorder="1" applyAlignment="1">
      <alignment horizontal="center"/>
    </xf>
    <xf numFmtId="2" fontId="23" fillId="0" borderId="18" xfId="0" applyNumberFormat="1" applyFont="1" applyFill="1" applyBorder="1" applyAlignment="1">
      <alignment horizontal="center"/>
    </xf>
    <xf numFmtId="0" fontId="23" fillId="0" borderId="0" xfId="0" applyFont="1" applyFill="1" applyAlignment="1">
      <alignment horizontal="center"/>
    </xf>
    <xf numFmtId="0" fontId="23" fillId="0" borderId="0" xfId="0" applyFont="1" applyFill="1" applyBorder="1" applyAlignment="1">
      <alignment horizontal="center"/>
    </xf>
    <xf numFmtId="2" fontId="0" fillId="0" borderId="18" xfId="0" applyNumberFormat="1" applyFill="1" applyBorder="1" applyAlignment="1">
      <alignment horizontal="center"/>
    </xf>
    <xf numFmtId="0" fontId="1" fillId="3" borderId="19" xfId="0" applyFont="1" applyFill="1" applyBorder="1"/>
    <xf numFmtId="0" fontId="1" fillId="3" borderId="20" xfId="0" applyFont="1" applyFill="1" applyBorder="1"/>
    <xf numFmtId="165" fontId="0" fillId="9" borderId="21" xfId="0" applyNumberFormat="1" applyFill="1" applyBorder="1" applyAlignment="1">
      <alignment horizontal="center"/>
    </xf>
    <xf numFmtId="0" fontId="0" fillId="9" borderId="21" xfId="0" applyFill="1" applyBorder="1" applyAlignment="1">
      <alignment horizontal="center"/>
    </xf>
    <xf numFmtId="0" fontId="0" fillId="3" borderId="19" xfId="0" applyFill="1" applyBorder="1" applyAlignment="1">
      <alignment horizontal="center"/>
    </xf>
    <xf numFmtId="2" fontId="0" fillId="9" borderId="20" xfId="0" applyNumberFormat="1" applyFill="1" applyBorder="1" applyAlignment="1">
      <alignment horizontal="center"/>
    </xf>
    <xf numFmtId="0" fontId="0" fillId="28" borderId="19" xfId="0" applyFill="1" applyBorder="1" applyAlignment="1">
      <alignment horizontal="center"/>
    </xf>
    <xf numFmtId="2" fontId="0" fillId="28" borderId="19" xfId="0" applyNumberFormat="1" applyFill="1" applyBorder="1" applyAlignment="1">
      <alignment horizontal="center"/>
    </xf>
    <xf numFmtId="2" fontId="0" fillId="9" borderId="21" xfId="0" applyNumberFormat="1" applyFill="1" applyBorder="1" applyAlignment="1">
      <alignment horizontal="center"/>
    </xf>
    <xf numFmtId="0" fontId="0" fillId="0" borderId="4" xfId="0" applyFill="1" applyBorder="1" applyAlignment="1">
      <alignment horizontal="center"/>
    </xf>
    <xf numFmtId="0" fontId="0" fillId="0" borderId="5" xfId="0" applyFill="1" applyBorder="1" applyAlignment="1">
      <alignment horizontal="center"/>
    </xf>
    <xf numFmtId="0" fontId="0" fillId="0" borderId="6" xfId="0" applyFill="1" applyBorder="1" applyAlignment="1">
      <alignment horizontal="center"/>
    </xf>
    <xf numFmtId="0" fontId="0" fillId="0" borderId="8" xfId="0" applyFill="1" applyBorder="1" applyAlignment="1">
      <alignment horizontal="center"/>
    </xf>
    <xf numFmtId="9" fontId="0" fillId="0" borderId="22" xfId="3" applyFont="1" applyBorder="1"/>
    <xf numFmtId="0" fontId="20" fillId="0" borderId="24" xfId="0" applyFont="1" applyBorder="1"/>
    <xf numFmtId="0" fontId="60" fillId="17" borderId="27" xfId="0" applyFont="1" applyFill="1" applyBorder="1" applyAlignment="1">
      <alignment horizontal="center" vertical="center" wrapText="1"/>
    </xf>
    <xf numFmtId="0" fontId="61" fillId="29" borderId="0" xfId="0" applyFont="1" applyFill="1" applyBorder="1" applyAlignment="1" applyProtection="1">
      <alignment vertical="center"/>
      <protection hidden="1"/>
    </xf>
    <xf numFmtId="4" fontId="62" fillId="29" borderId="0" xfId="0" applyNumberFormat="1" applyFont="1" applyFill="1" applyBorder="1" applyAlignment="1">
      <alignment horizontal="left" vertical="center"/>
    </xf>
    <xf numFmtId="4" fontId="62" fillId="29" borderId="0" xfId="0" applyNumberFormat="1" applyFont="1" applyFill="1" applyBorder="1" applyAlignment="1">
      <alignment horizontal="left" vertical="top"/>
    </xf>
    <xf numFmtId="4" fontId="62" fillId="29" borderId="0" xfId="0" applyNumberFormat="1" applyFont="1" applyFill="1" applyBorder="1" applyAlignment="1">
      <alignment horizontal="left" vertical="top" wrapText="1"/>
    </xf>
    <xf numFmtId="3" fontId="0" fillId="9" borderId="23" xfId="0" applyNumberFormat="1" applyFont="1" applyFill="1" applyBorder="1" applyAlignment="1" applyProtection="1">
      <alignment horizontal="center" vertical="top" wrapText="1"/>
      <protection locked="0"/>
    </xf>
    <xf numFmtId="0" fontId="1" fillId="14" borderId="0" xfId="0" applyFont="1" applyFill="1" applyBorder="1" applyAlignment="1">
      <alignment horizontal="center" wrapText="1"/>
    </xf>
    <xf numFmtId="0" fontId="0" fillId="27" borderId="0" xfId="0" applyFill="1"/>
    <xf numFmtId="0" fontId="63" fillId="0" borderId="0" xfId="0" applyFont="1" applyAlignment="1">
      <alignment vertical="center"/>
    </xf>
    <xf numFmtId="0" fontId="0" fillId="19" borderId="0" xfId="0" applyFill="1" applyAlignment="1">
      <alignment vertical="center"/>
    </xf>
    <xf numFmtId="0" fontId="0" fillId="0" borderId="0" xfId="0" applyAlignment="1">
      <alignment wrapText="1"/>
    </xf>
    <xf numFmtId="0" fontId="14" fillId="11" borderId="0" xfId="0" applyFont="1" applyFill="1" applyAlignment="1">
      <alignment horizontal="left" vertical="center"/>
    </xf>
    <xf numFmtId="0" fontId="38" fillId="11" borderId="0" xfId="0" applyFont="1" applyFill="1" applyAlignment="1">
      <alignment horizontal="left" vertical="center"/>
    </xf>
    <xf numFmtId="4" fontId="38" fillId="11" borderId="0" xfId="0" applyNumberFormat="1" applyFont="1" applyFill="1" applyAlignment="1">
      <alignment horizontal="left" vertical="center"/>
    </xf>
    <xf numFmtId="3" fontId="0" fillId="9" borderId="23" xfId="0" applyNumberFormat="1" applyFont="1" applyFill="1" applyBorder="1" applyAlignment="1" applyProtection="1">
      <alignment horizontal="center" vertical="center" wrapText="1"/>
      <protection locked="0"/>
    </xf>
    <xf numFmtId="0" fontId="0" fillId="9" borderId="25" xfId="0" applyFill="1" applyBorder="1" applyAlignment="1" applyProtection="1">
      <alignment horizontal="left"/>
      <protection locked="0"/>
    </xf>
    <xf numFmtId="1" fontId="1" fillId="0" borderId="23" xfId="0" applyNumberFormat="1" applyFont="1" applyFill="1" applyBorder="1" applyAlignment="1" applyProtection="1">
      <alignment horizontal="center" vertical="center"/>
      <protection locked="0"/>
    </xf>
    <xf numFmtId="1" fontId="9" fillId="17" borderId="23" xfId="0" applyNumberFormat="1" applyFont="1" applyFill="1" applyBorder="1" applyAlignment="1" applyProtection="1">
      <alignment horizontal="center" vertical="center"/>
      <protection hidden="1"/>
    </xf>
    <xf numFmtId="165" fontId="0" fillId="0" borderId="7" xfId="0" applyNumberFormat="1" applyBorder="1" applyAlignment="1">
      <alignment horizontal="center"/>
    </xf>
    <xf numFmtId="1" fontId="0" fillId="0" borderId="0" xfId="0" applyNumberFormat="1"/>
    <xf numFmtId="2" fontId="0" fillId="0" borderId="0" xfId="0" applyNumberFormat="1" applyAlignment="1">
      <alignment horizontal="right"/>
    </xf>
    <xf numFmtId="2" fontId="0" fillId="0" borderId="19" xfId="0" applyNumberFormat="1" applyBorder="1" applyAlignment="1">
      <alignment horizontal="center"/>
    </xf>
    <xf numFmtId="2" fontId="0" fillId="0" borderId="20" xfId="0" applyNumberFormat="1" applyBorder="1" applyAlignment="1">
      <alignment horizontal="center"/>
    </xf>
    <xf numFmtId="2" fontId="1" fillId="24" borderId="20" xfId="0" applyNumberFormat="1" applyFont="1" applyFill="1" applyBorder="1" applyAlignment="1">
      <alignment horizont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xf>
    <xf numFmtId="0" fontId="68" fillId="0" borderId="0" xfId="0" applyFont="1" applyAlignment="1">
      <alignment horizontal="left" vertical="center"/>
    </xf>
    <xf numFmtId="0" fontId="69" fillId="0" borderId="0" xfId="0" applyFont="1" applyAlignment="1">
      <alignment wrapText="1"/>
    </xf>
    <xf numFmtId="0" fontId="70" fillId="0" borderId="0" xfId="0" applyFont="1"/>
    <xf numFmtId="0" fontId="71" fillId="0" borderId="0" xfId="4" applyFont="1" applyAlignment="1">
      <alignment vertical="top"/>
    </xf>
    <xf numFmtId="0" fontId="72" fillId="0" borderId="0" xfId="0" applyFont="1" applyAlignment="1">
      <alignment horizontal="justify" vertical="center"/>
    </xf>
    <xf numFmtId="0" fontId="0" fillId="0" borderId="24" xfId="0" applyBorder="1" applyProtection="1"/>
    <xf numFmtId="0" fontId="30" fillId="20" borderId="24" xfId="0" applyFont="1" applyFill="1" applyBorder="1" applyAlignment="1" applyProtection="1">
      <alignment horizontal="center" vertical="center" wrapText="1"/>
    </xf>
    <xf numFmtId="0" fontId="30" fillId="20" borderId="16" xfId="0" applyFont="1" applyFill="1" applyBorder="1" applyAlignment="1" applyProtection="1">
      <alignment horizontal="center" vertical="center" wrapText="1"/>
    </xf>
    <xf numFmtId="0" fontId="28" fillId="20" borderId="16" xfId="0" applyFont="1" applyFill="1" applyBorder="1" applyAlignment="1" applyProtection="1">
      <alignment horizontal="center" vertical="center" wrapText="1"/>
    </xf>
    <xf numFmtId="0" fontId="0" fillId="0" borderId="16" xfId="0" applyBorder="1" applyProtection="1"/>
    <xf numFmtId="0" fontId="0" fillId="0" borderId="17" xfId="0" applyBorder="1" applyProtection="1"/>
    <xf numFmtId="0" fontId="0" fillId="0" borderId="22" xfId="0" applyFont="1" applyBorder="1" applyAlignment="1" applyProtection="1">
      <alignment horizontal="left"/>
    </xf>
    <xf numFmtId="2" fontId="0" fillId="0" borderId="0" xfId="0" applyNumberFormat="1" applyFont="1" applyBorder="1" applyAlignment="1" applyProtection="1">
      <alignment horizontal="center"/>
    </xf>
    <xf numFmtId="0" fontId="0" fillId="0" borderId="0" xfId="0" applyBorder="1" applyProtection="1"/>
    <xf numFmtId="0" fontId="0" fillId="0" borderId="18" xfId="0" applyBorder="1" applyProtection="1"/>
    <xf numFmtId="0" fontId="1" fillId="0" borderId="10" xfId="0" applyFont="1" applyBorder="1" applyProtection="1"/>
    <xf numFmtId="2" fontId="0" fillId="0" borderId="11" xfId="0" applyNumberFormat="1" applyFont="1" applyBorder="1" applyAlignment="1" applyProtection="1">
      <alignment horizontal="center"/>
    </xf>
    <xf numFmtId="2" fontId="0" fillId="0" borderId="11" xfId="0" applyNumberFormat="1" applyFont="1" applyFill="1" applyBorder="1" applyAlignment="1" applyProtection="1">
      <alignment horizontal="center"/>
    </xf>
    <xf numFmtId="2" fontId="1" fillId="21" borderId="11" xfId="0" applyNumberFormat="1" applyFont="1" applyFill="1" applyBorder="1" applyAlignment="1" applyProtection="1">
      <alignment horizontal="center"/>
    </xf>
    <xf numFmtId="0" fontId="1" fillId="0" borderId="11" xfId="0" applyFont="1" applyBorder="1" applyProtection="1"/>
    <xf numFmtId="0" fontId="0" fillId="0" borderId="12" xfId="0" applyBorder="1" applyProtection="1"/>
    <xf numFmtId="0" fontId="73" fillId="20" borderId="16" xfId="0" applyFont="1" applyFill="1" applyBorder="1" applyAlignment="1" applyProtection="1">
      <alignment horizontal="center" vertical="center" wrapText="1"/>
    </xf>
    <xf numFmtId="3" fontId="1" fillId="9" borderId="28" xfId="0" applyNumberFormat="1" applyFont="1" applyFill="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4" fillId="12" borderId="0" xfId="0" applyFont="1" applyFill="1" applyBorder="1" applyAlignment="1">
      <alignment horizontal="left" vertical="center" wrapText="1"/>
    </xf>
    <xf numFmtId="0" fontId="0" fillId="0" borderId="0" xfId="0" applyAlignment="1">
      <alignment horizontal="left" vertical="center" wrapText="1"/>
    </xf>
    <xf numFmtId="0" fontId="13" fillId="11" borderId="0" xfId="0" applyFont="1" applyFill="1" applyBorder="1" applyAlignment="1">
      <alignment horizontal="left" vertical="center"/>
    </xf>
    <xf numFmtId="0" fontId="0" fillId="0" borderId="0" xfId="0" applyAlignment="1">
      <alignment vertical="center"/>
    </xf>
    <xf numFmtId="0" fontId="39" fillId="27" borderId="0" xfId="0" quotePrefix="1" applyFont="1" applyFill="1" applyBorder="1" applyAlignment="1">
      <alignment horizontal="left" vertical="center" wrapText="1"/>
    </xf>
    <xf numFmtId="0" fontId="39" fillId="27" borderId="0" xfId="0" applyFont="1" applyFill="1" applyAlignment="1">
      <alignment horizontal="left" vertical="center" wrapText="1"/>
    </xf>
    <xf numFmtId="1" fontId="1" fillId="9" borderId="28" xfId="0" applyNumberFormat="1" applyFont="1" applyFill="1" applyBorder="1" applyAlignment="1" applyProtection="1">
      <alignment horizontal="center" vertical="center"/>
      <protection locked="0"/>
    </xf>
    <xf numFmtId="1" fontId="0" fillId="0" borderId="29" xfId="0" applyNumberFormat="1" applyFont="1" applyBorder="1" applyAlignment="1" applyProtection="1">
      <alignment horizontal="center" vertical="center"/>
      <protection locked="0"/>
    </xf>
    <xf numFmtId="1" fontId="0" fillId="0" borderId="30" xfId="0" applyNumberFormat="1" applyFont="1" applyBorder="1" applyAlignment="1" applyProtection="1">
      <alignment horizontal="center" vertical="center"/>
      <protection locked="0"/>
    </xf>
    <xf numFmtId="0" fontId="4" fillId="5" borderId="0" xfId="0" applyFont="1" applyFill="1" applyBorder="1" applyAlignment="1">
      <alignment horizontal="center" vertical="center"/>
    </xf>
    <xf numFmtId="0" fontId="4" fillId="5" borderId="20" xfId="0" applyFont="1" applyFill="1" applyBorder="1" applyAlignment="1">
      <alignment horizontal="center" vertical="center"/>
    </xf>
    <xf numFmtId="0" fontId="4" fillId="17" borderId="20" xfId="0" applyFont="1" applyFill="1" applyBorder="1" applyAlignment="1">
      <alignment horizontal="center" vertical="center" wrapText="1"/>
    </xf>
    <xf numFmtId="9" fontId="41" fillId="9" borderId="31" xfId="3" applyFont="1" applyFill="1" applyBorder="1" applyAlignment="1" applyProtection="1">
      <alignment horizontal="center" vertical="center" wrapText="1"/>
      <protection locked="0"/>
    </xf>
    <xf numFmtId="9" fontId="41" fillId="9" borderId="32" xfId="3" applyFont="1" applyFill="1" applyBorder="1" applyAlignment="1" applyProtection="1">
      <alignment horizontal="center" vertical="center" wrapText="1"/>
      <protection locked="0"/>
    </xf>
    <xf numFmtId="9" fontId="41" fillId="9" borderId="33" xfId="3" applyFont="1" applyFill="1" applyBorder="1" applyAlignment="1" applyProtection="1">
      <alignment horizontal="center" vertical="center" wrapText="1"/>
      <protection locked="0"/>
    </xf>
    <xf numFmtId="0" fontId="0" fillId="0" borderId="20" xfId="0" applyBorder="1" applyAlignment="1">
      <alignment horizontal="center" vertical="center" wrapText="1"/>
    </xf>
    <xf numFmtId="0" fontId="4" fillId="2" borderId="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4" borderId="0" xfId="0" applyFont="1" applyFill="1" applyBorder="1" applyAlignment="1">
      <alignment horizontal="center" vertical="center"/>
    </xf>
    <xf numFmtId="0" fontId="4" fillId="4" borderId="20" xfId="0" applyFont="1" applyFill="1" applyBorder="1" applyAlignment="1">
      <alignment horizontal="center" vertical="center"/>
    </xf>
    <xf numFmtId="0" fontId="4" fillId="6" borderId="0" xfId="0" applyFont="1" applyFill="1" applyBorder="1" applyAlignment="1">
      <alignment horizontal="center" vertical="center" wrapText="1"/>
    </xf>
    <xf numFmtId="0" fontId="9" fillId="6" borderId="22" xfId="0" applyFont="1" applyFill="1" applyBorder="1" applyAlignment="1">
      <alignment horizontal="left" vertical="center"/>
    </xf>
    <xf numFmtId="0" fontId="0" fillId="6" borderId="0" xfId="0" applyFill="1" applyAlignment="1">
      <alignment horizontal="left" vertical="center"/>
    </xf>
    <xf numFmtId="0" fontId="6" fillId="6" borderId="18" xfId="0" applyFont="1" applyFill="1" applyBorder="1" applyAlignment="1">
      <alignment horizontal="center" vertical="center" textRotation="90"/>
    </xf>
    <xf numFmtId="0" fontId="4" fillId="6" borderId="22"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4" fillId="19" borderId="0" xfId="0" applyFont="1" applyFill="1" applyBorder="1" applyAlignment="1">
      <alignment horizontal="center" vertical="center" wrapText="1"/>
    </xf>
    <xf numFmtId="0" fontId="4" fillId="19" borderId="20" xfId="0" applyFont="1" applyFill="1" applyBorder="1" applyAlignment="1">
      <alignment horizontal="center" vertical="center" wrapText="1"/>
    </xf>
    <xf numFmtId="0" fontId="14" fillId="11" borderId="0" xfId="0" applyFont="1" applyFill="1" applyBorder="1" applyAlignment="1">
      <alignment vertical="top"/>
    </xf>
    <xf numFmtId="0" fontId="0" fillId="0" borderId="0" xfId="0" applyAlignment="1"/>
    <xf numFmtId="0" fontId="14" fillId="11" borderId="0" xfId="0" applyFont="1" applyFill="1" applyBorder="1" applyAlignment="1">
      <alignment horizontal="left" vertical="top" wrapText="1"/>
    </xf>
    <xf numFmtId="0" fontId="14" fillId="11" borderId="0" xfId="0" applyFont="1" applyFill="1" applyAlignment="1">
      <alignment horizontal="left" vertical="center" wrapText="1"/>
    </xf>
    <xf numFmtId="0" fontId="7" fillId="0" borderId="0" xfId="0" applyFont="1" applyAlignment="1"/>
    <xf numFmtId="0" fontId="4" fillId="8" borderId="0" xfId="0" applyFont="1" applyFill="1" applyBorder="1" applyAlignment="1">
      <alignment horizontal="center" vertical="center" wrapText="1"/>
    </xf>
    <xf numFmtId="0" fontId="4" fillId="8" borderId="20" xfId="0" applyFont="1" applyFill="1" applyBorder="1" applyAlignment="1">
      <alignment horizontal="center" vertical="center" wrapText="1"/>
    </xf>
    <xf numFmtId="0" fontId="0" fillId="26" borderId="0" xfId="0" applyFont="1" applyFill="1" applyAlignment="1">
      <alignment wrapText="1"/>
    </xf>
    <xf numFmtId="1" fontId="0" fillId="18" borderId="16" xfId="0" applyNumberFormat="1" applyFill="1" applyBorder="1" applyAlignment="1">
      <alignment horizontal="center"/>
    </xf>
    <xf numFmtId="0" fontId="0" fillId="0" borderId="17" xfId="0" applyBorder="1" applyAlignment="1">
      <alignment horizontal="center"/>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9" fillId="9" borderId="24" xfId="0" applyFont="1" applyFill="1" applyBorder="1" applyAlignment="1">
      <alignment horizontal="center"/>
    </xf>
    <xf numFmtId="0" fontId="9" fillId="9" borderId="16" xfId="0" applyFont="1" applyFill="1" applyBorder="1" applyAlignment="1">
      <alignment horizontal="center"/>
    </xf>
    <xf numFmtId="0" fontId="9" fillId="0" borderId="24" xfId="0" applyFont="1" applyBorder="1" applyAlignment="1">
      <alignment horizontal="center"/>
    </xf>
    <xf numFmtId="0" fontId="9" fillId="0" borderId="16" xfId="0" applyFont="1" applyBorder="1" applyAlignment="1">
      <alignment horizontal="center"/>
    </xf>
    <xf numFmtId="0" fontId="9" fillId="9" borderId="17" xfId="0" applyFont="1" applyFill="1" applyBorder="1" applyAlignment="1">
      <alignment horizontal="center"/>
    </xf>
    <xf numFmtId="0" fontId="9" fillId="0" borderId="17" xfId="0" applyFont="1" applyBorder="1" applyAlignment="1">
      <alignment horizontal="center"/>
    </xf>
    <xf numFmtId="0" fontId="7" fillId="0" borderId="0" xfId="0" applyFont="1" applyBorder="1" applyAlignment="1">
      <alignment horizontal="center" vertical="center"/>
    </xf>
    <xf numFmtId="0" fontId="7" fillId="0" borderId="20"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 fillId="0" borderId="1" xfId="0" applyFont="1" applyBorder="1" applyAlignment="1">
      <alignment horizontal="center"/>
    </xf>
    <xf numFmtId="0" fontId="0" fillId="0" borderId="3" xfId="0" applyBorder="1" applyAlignment="1">
      <alignment horizontal="center"/>
    </xf>
    <xf numFmtId="0" fontId="1" fillId="0" borderId="17" xfId="0" applyFont="1" applyBorder="1" applyAlignment="1">
      <alignment horizontal="center" vertical="center"/>
    </xf>
    <xf numFmtId="0" fontId="1" fillId="0" borderId="21" xfId="0" applyFont="1" applyBorder="1" applyAlignment="1">
      <alignment horizontal="center" vertical="center"/>
    </xf>
    <xf numFmtId="0" fontId="1" fillId="0" borderId="16" xfId="0" applyFont="1" applyBorder="1" applyAlignment="1">
      <alignment horizontal="center" vertical="center"/>
    </xf>
    <xf numFmtId="0" fontId="1" fillId="0" borderId="20" xfId="0" applyFont="1" applyBorder="1" applyAlignment="1">
      <alignment horizontal="center" vertical="center"/>
    </xf>
    <xf numFmtId="0" fontId="1" fillId="0" borderId="24"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xf>
    <xf numFmtId="0" fontId="1" fillId="0" borderId="0" xfId="0" applyFont="1" applyAlignment="1">
      <alignment horizontal="center"/>
    </xf>
    <xf numFmtId="0" fontId="1" fillId="0" borderId="24"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8" fillId="3" borderId="13" xfId="0" applyFont="1" applyFill="1" applyBorder="1" applyAlignment="1">
      <alignment horizontal="center" vertical="center"/>
    </xf>
    <xf numFmtId="0" fontId="8" fillId="3" borderId="15" xfId="0" applyFont="1" applyFill="1" applyBorder="1" applyAlignment="1">
      <alignment horizontal="center" vertical="center"/>
    </xf>
    <xf numFmtId="0" fontId="9" fillId="9" borderId="22" xfId="0" applyFont="1" applyFill="1" applyBorder="1" applyAlignment="1">
      <alignment horizontal="center"/>
    </xf>
    <xf numFmtId="0" fontId="9" fillId="9" borderId="0" xfId="0" applyFont="1" applyFill="1" applyBorder="1" applyAlignment="1">
      <alignment horizontal="center"/>
    </xf>
    <xf numFmtId="0" fontId="11" fillId="0" borderId="24" xfId="0" applyFont="1" applyFill="1" applyBorder="1" applyAlignment="1">
      <alignment horizontal="center" vertical="center"/>
    </xf>
    <xf numFmtId="0" fontId="11" fillId="0" borderId="22" xfId="0" applyFont="1" applyFill="1" applyBorder="1" applyAlignment="1">
      <alignment horizontal="center" vertical="center"/>
    </xf>
    <xf numFmtId="0" fontId="7" fillId="0" borderId="22" xfId="0" applyFont="1" applyBorder="1" applyAlignment="1">
      <alignment horizontal="center" vertical="center"/>
    </xf>
    <xf numFmtId="0" fontId="7" fillId="0" borderId="19" xfId="0" applyFont="1" applyBorder="1" applyAlignment="1">
      <alignment horizontal="center" vertical="center"/>
    </xf>
    <xf numFmtId="0" fontId="1" fillId="0" borderId="22" xfId="0" applyFont="1" applyBorder="1" applyAlignment="1">
      <alignment horizontal="center" vertical="center"/>
    </xf>
    <xf numFmtId="0" fontId="1" fillId="0" borderId="0" xfId="0" applyFont="1" applyBorder="1" applyAlignment="1">
      <alignment horizontal="center" vertical="center"/>
    </xf>
    <xf numFmtId="0" fontId="1" fillId="0" borderId="18" xfId="0" applyFont="1" applyBorder="1" applyAlignment="1">
      <alignment horizontal="center" vertical="center"/>
    </xf>
    <xf numFmtId="0" fontId="7" fillId="0" borderId="24" xfId="0" applyFont="1" applyBorder="1" applyAlignment="1">
      <alignment horizontal="center"/>
    </xf>
    <xf numFmtId="0" fontId="7" fillId="0" borderId="22" xfId="0" applyFont="1" applyBorder="1" applyAlignment="1">
      <alignment horizont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0" fillId="24" borderId="9" xfId="0" applyFill="1" applyBorder="1" applyAlignment="1">
      <alignment horizontal="center"/>
    </xf>
  </cellXfs>
  <cellStyles count="5">
    <cellStyle name="Enllaç" xfId="4" builtinId="8"/>
    <cellStyle name="Normal" xfId="0" builtinId="0"/>
    <cellStyle name="Normal 2" xfId="1"/>
    <cellStyle name="Percentatge" xfId="3" builtinId="5"/>
    <cellStyle name="Standard 2" xfId="2"/>
  </cellStyles>
  <dxfs count="40">
    <dxf>
      <font>
        <color rgb="FFFFFFF3"/>
      </font>
      <fill>
        <patternFill>
          <bgColor rgb="FFFFFFF3"/>
        </patternFill>
      </fill>
    </dxf>
    <dxf>
      <font>
        <color rgb="FFFFFFF3"/>
      </font>
      <fill>
        <patternFill>
          <bgColor rgb="FFFFFFF3"/>
        </patternFill>
      </fill>
    </dxf>
    <dxf>
      <font>
        <color rgb="FFFFFFF3"/>
      </font>
      <fill>
        <patternFill>
          <bgColor rgb="FFFFFFF3"/>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color rgb="FFFFFFF3"/>
      </font>
      <fill>
        <patternFill>
          <bgColor rgb="FFFFFFF3"/>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color rgb="FF006100"/>
      </font>
      <fill>
        <patternFill>
          <bgColor rgb="FFC6EFCE"/>
        </patternFill>
      </fill>
    </dxf>
    <dxf>
      <fill>
        <patternFill>
          <bgColor rgb="FFFF0000"/>
        </patternFill>
      </fill>
    </dxf>
    <dxf>
      <font>
        <color theme="0"/>
      </font>
    </dxf>
    <dxf>
      <font>
        <color rgb="FFFFFFCC"/>
      </font>
      <fill>
        <patternFill>
          <bgColor theme="0"/>
        </patternFill>
      </fill>
    </dxf>
    <dxf>
      <font>
        <color rgb="FFFFFFCC"/>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E6E6E6"/>
      <color rgb="FFCAE8AA"/>
      <color rgb="FFFFFFEB"/>
      <color rgb="FFEBEEE2"/>
      <color rgb="FFFFFFCC"/>
      <color rgb="FFFFFFF3"/>
      <color rgb="FFB8B8B8"/>
      <color rgb="FFFF0000"/>
      <color rgb="FFFFFFDD"/>
      <color rgb="FFD7D7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xdr:colOff>
          <xdr:row>1</xdr:row>
          <xdr:rowOff>15240</xdr:rowOff>
        </xdr:from>
        <xdr:to>
          <xdr:col>0</xdr:col>
          <xdr:colOff>327660</xdr:colOff>
          <xdr:row>2</xdr:row>
          <xdr:rowOff>129540</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45720</xdr:colOff>
      <xdr:row>1</xdr:row>
      <xdr:rowOff>22860</xdr:rowOff>
    </xdr:from>
    <xdr:to>
      <xdr:col>0</xdr:col>
      <xdr:colOff>350520</xdr:colOff>
      <xdr:row>3</xdr:row>
      <xdr:rowOff>3735</xdr:rowOff>
    </xdr:to>
    <xdr:pic>
      <xdr:nvPicPr>
        <xdr:cNvPr id="3" name="Imatg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102373"/>
          <a:ext cx="304800" cy="3466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4187752Z/Documents/anulats/Calculadora%20Emissions%20MTD%20-%20PORC&#205;%20v.1.2_TREBAL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JAVIER\Gestion%20ambiental%20en%20Ganaderia\MTD\Calculo%20N\EMISIONES%20EN%20GRANJA_CARATULA_J.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missió"/>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DATOS"/>
      <sheetName val="Resultados"/>
      <sheetName val="Hoja1"/>
      <sheetName val="Hoja2"/>
      <sheetName val="Hoja3"/>
      <sheetName val="Hoja4"/>
      <sheetName val="Hoja5"/>
      <sheetName val="Hoja6"/>
      <sheetName val="Hoja7"/>
      <sheetName val="Hoja8"/>
      <sheetName val="Hoja9"/>
      <sheetName val="Hoja10"/>
      <sheetName val="Hoja11"/>
      <sheetName val="Hoja12"/>
      <sheetName val="Hoja13"/>
      <sheetName val="Hoja14"/>
      <sheetName val="Cálculos"/>
      <sheetName val="Lechones"/>
      <sheetName val="Cerdo 20-49 kg"/>
      <sheetName val="Cerdo 50-79 kg"/>
      <sheetName val="Cerdo 80-109 kg"/>
      <sheetName val="Cerdo &gt; 110 kg"/>
      <sheetName val="Verraco joven"/>
      <sheetName val="Verraco adulto"/>
      <sheetName val="Reprod. no cubierta"/>
      <sheetName val="Reprod. 1ª gestación"/>
      <sheetName val="Reprod. gestación"/>
      <sheetName val="Reprod. criando 1ª"/>
      <sheetName val="Reprod. criando"/>
      <sheetName val="Reprod. reposo 1ª"/>
      <sheetName val="Reprod. reposo"/>
      <sheetName val="EE TOTALES_Porcino intensiv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l'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gestio.web.gencat.cat/ca/tramits/tramits-temes/Comunicacio-anual-dels-nivells-demissio-de-les-activitats-ramaderes?category="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mapa.gob.es/es/ganaderia/temas/ganaderia-y-medio-ambiente/mejorestecnicasdisponiblesparareducirelimpactoambientaldelaganaderia_tcm30-436663.pdf" TargetMode="External"/><Relationship Id="rId13" Type="http://schemas.openxmlformats.org/officeDocument/2006/relationships/hyperlink" Target="https://www.mapa.gob.es/es/ganaderia/temas/ganaderia-y-medio-ambiente/mejorestecnicasdisponiblesparareducirelimpactoambientaldelaganaderia_tcm30-436663.pdf" TargetMode="External"/><Relationship Id="rId18" Type="http://schemas.openxmlformats.org/officeDocument/2006/relationships/hyperlink" Target="https://www.mapa.gob.es/es/ganaderia/temas/ganaderia-y-medio-ambiente/mejorestecnicasdisponiblesparareducirelimpactoambientaldelaganaderia_tcm30-436663.pdf" TargetMode="External"/><Relationship Id="rId3" Type="http://schemas.openxmlformats.org/officeDocument/2006/relationships/hyperlink" Target="https://www.mapa.gob.es/es/ganaderia/temas/ganaderia-y-medio-ambiente/80evaluacion_tecnicas_reduccion_emisiones_tcm30-108163.pdf" TargetMode="External"/><Relationship Id="rId21" Type="http://schemas.openxmlformats.org/officeDocument/2006/relationships/printerSettings" Target="../printerSettings/printerSettings11.bin"/><Relationship Id="rId7" Type="http://schemas.openxmlformats.org/officeDocument/2006/relationships/hyperlink" Target="https://www.mapa.gob.es/es/ganaderia/temas/ganaderia-y-medio-ambiente/mejorestecnicasdisponiblesparareducirelimpactoambientaldelaganaderia_tcm30-436663.pdf" TargetMode="External"/><Relationship Id="rId12" Type="http://schemas.openxmlformats.org/officeDocument/2006/relationships/hyperlink" Target="https://www.mapa.gob.es/es/ganaderia/temas/ganaderia-y-medio-ambiente/mejorestecnicasdisponiblesparareducirelimpactoambientaldelaganaderia_tcm30-436663.pdf" TargetMode="External"/><Relationship Id="rId17" Type="http://schemas.openxmlformats.org/officeDocument/2006/relationships/hyperlink" Target="https://www.mapa.gob.es/es/ganaderia/temas/ganaderia-y-medio-ambiente/mejorestecnicasdisponiblesparareducirelimpactoambientaldelaganaderia_tcm30-436663.pdf" TargetMode="External"/><Relationship Id="rId2" Type="http://schemas.openxmlformats.org/officeDocument/2006/relationships/hyperlink" Target="https://www.mapa.gob.es/es/ganaderia/temas/ganaderia-y-medio-ambiente/80evaluacion_tecnicas_reduccion_emisiones_tcm30-108163.pdf" TargetMode="External"/><Relationship Id="rId16" Type="http://schemas.openxmlformats.org/officeDocument/2006/relationships/hyperlink" Target="https://www.mapa.gob.es/es/ganaderia/temas/ganaderia-y-medio-ambiente/mejorestecnicasdisponiblesparareducirelimpactoambientaldelaganaderia_tcm30-436663.pdf" TargetMode="External"/><Relationship Id="rId20" Type="http://schemas.openxmlformats.org/officeDocument/2006/relationships/hyperlink" Target="https://www.mapa.gob.es/es/ganaderia/temas/ganaderia-y-medio-ambiente/80evaluacion_tecnicas_reduccion_emisiones_tcm30-108163.pdf" TargetMode="External"/><Relationship Id="rId1" Type="http://schemas.openxmlformats.org/officeDocument/2006/relationships/hyperlink" Target="https://www.mapa.gob.es/es/ganaderia/temas/ganaderia-y-medio-ambiente/80evaluacion_tecnicas_reduccion_emisiones_tcm30-108163.pdf" TargetMode="External"/><Relationship Id="rId6" Type="http://schemas.openxmlformats.org/officeDocument/2006/relationships/hyperlink" Target="https://www.mapa.gob.es/es/ganaderia/temas/ganaderia-y-medio-ambiente/83guia_mtd_sector_porcino_tcm30-108202.pdf" TargetMode="External"/><Relationship Id="rId11" Type="http://schemas.openxmlformats.org/officeDocument/2006/relationships/hyperlink" Target="https://www.mapa.gob.es/es/ganaderia/temas/ganaderia-y-medio-ambiente/mejorestecnicasdisponiblesparareducirelimpactoambientaldelaganaderia_tcm30-436663.pdf" TargetMode="External"/><Relationship Id="rId5" Type="http://schemas.openxmlformats.org/officeDocument/2006/relationships/hyperlink" Target="https://www.mapa.gob.es/es/ganaderia/temas/ganaderia-y-medio-ambiente/mejorestecnicasdisponiblesparareducirelimpactoambientaldelaganaderia_tcm30-436663.pdf" TargetMode="External"/><Relationship Id="rId15" Type="http://schemas.openxmlformats.org/officeDocument/2006/relationships/hyperlink" Target="https://www.mapa.gob.es/es/ganaderia/temas/ganaderia-y-medio-ambiente/mejorestecnicasdisponiblesparareducirelimpactoambientaldelaganaderia_tcm30-436663.pdf" TargetMode="External"/><Relationship Id="rId10" Type="http://schemas.openxmlformats.org/officeDocument/2006/relationships/hyperlink" Target="https://www.mapa.gob.es/es/ganaderia/temas/ganaderia-y-medio-ambiente/mejorestecnicasdisponiblesparareducirelimpactoambientaldelaganaderia_tcm30-436663.pdf" TargetMode="External"/><Relationship Id="rId19" Type="http://schemas.openxmlformats.org/officeDocument/2006/relationships/hyperlink" Target="https://www.mapa.gob.es/es/ganaderia/temas/ganaderia-y-medio-ambiente/mejorestecnicasdisponiblesparareducirelimpactoambientaldelaganaderia_tcm30-436663.pdf" TargetMode="External"/><Relationship Id="rId4" Type="http://schemas.openxmlformats.org/officeDocument/2006/relationships/hyperlink" Target="https://www.mapa.gob.es/es/ganaderia/temas/ganaderia-y-medio-ambiente/80evaluacion_tecnicas_reduccion_emisiones_tcm30-108163.pdf" TargetMode="External"/><Relationship Id="rId9" Type="http://schemas.openxmlformats.org/officeDocument/2006/relationships/hyperlink" Target="https://www.mapa.gob.es/es/ganaderia/temas/ganaderia-y-medio-ambiente/mejorestecnicasdisponiblesparareducirelimpactoambientaldelaganaderia_tcm30-436663.pdf" TargetMode="External"/><Relationship Id="rId14" Type="http://schemas.openxmlformats.org/officeDocument/2006/relationships/hyperlink" Target="https://www.mapa.gob.es/es/ganaderia/temas/ganaderia-y-medio-ambiente/mejorestecnicasdisponiblesparareducirelimpactoambientaldelaganaderia_tcm30-436663.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ll1">
    <tabColor theme="0"/>
  </sheetPr>
  <dimension ref="A1:C13"/>
  <sheetViews>
    <sheetView zoomScaleNormal="100" workbookViewId="0">
      <selection activeCell="B6" sqref="B6"/>
    </sheetView>
  </sheetViews>
  <sheetFormatPr defaultRowHeight="14.4" x14ac:dyDescent="0.3"/>
  <cols>
    <col min="1" max="1" width="5.6640625" customWidth="1"/>
    <col min="2" max="2" width="125.109375" customWidth="1"/>
  </cols>
  <sheetData>
    <row r="1" spans="1:3" ht="6.6" customHeight="1" x14ac:dyDescent="0.3">
      <c r="A1" s="544"/>
    </row>
    <row r="2" spans="1:3" ht="15" x14ac:dyDescent="0.3">
      <c r="B2" s="545" t="s">
        <v>444</v>
      </c>
      <c r="C2" s="484"/>
    </row>
    <row r="3" spans="1:3" ht="15" x14ac:dyDescent="0.3">
      <c r="B3" s="545" t="s">
        <v>445</v>
      </c>
      <c r="C3" s="484"/>
    </row>
    <row r="4" spans="1:3" ht="15" x14ac:dyDescent="0.3">
      <c r="B4" s="545" t="s">
        <v>446</v>
      </c>
      <c r="C4" s="484"/>
    </row>
    <row r="5" spans="1:3" x14ac:dyDescent="0.3">
      <c r="B5" s="546" t="s">
        <v>447</v>
      </c>
      <c r="C5" s="484"/>
    </row>
    <row r="6" spans="1:3" x14ac:dyDescent="0.3">
      <c r="B6" s="546" t="s">
        <v>448</v>
      </c>
      <c r="C6" s="484"/>
    </row>
    <row r="7" spans="1:3" ht="16.95" x14ac:dyDescent="0.3">
      <c r="B7" s="547"/>
    </row>
    <row r="8" spans="1:3" x14ac:dyDescent="0.3">
      <c r="B8" s="548" t="s">
        <v>449</v>
      </c>
    </row>
    <row r="9" spans="1:3" ht="229.2" customHeight="1" x14ac:dyDescent="0.3">
      <c r="B9" s="549" t="s">
        <v>450</v>
      </c>
    </row>
    <row r="10" spans="1:3" s="550" customFormat="1" ht="17.55" customHeight="1" x14ac:dyDescent="0.3">
      <c r="B10" s="551" t="s">
        <v>451</v>
      </c>
    </row>
    <row r="11" spans="1:3" ht="297.60000000000002" x14ac:dyDescent="0.3">
      <c r="B11" s="549" t="s">
        <v>452</v>
      </c>
    </row>
    <row r="12" spans="1:3" x14ac:dyDescent="0.3">
      <c r="B12" s="552" t="s">
        <v>453</v>
      </c>
    </row>
    <row r="13" spans="1:3" ht="229.2" x14ac:dyDescent="0.3">
      <c r="B13" s="549" t="s">
        <v>454</v>
      </c>
    </row>
  </sheetData>
  <sheetProtection algorithmName="SHA-512" hashValue="6NWvl+swnsIA5FpqbDCI631M0JWByLvoGTjpMMJY9xkGsi4P4ETYxVnIEStWC0LJgPR7G65j/1F88NoQRxxPEQ==" saltValue="QMycIxNJ3HnOvd8h7OEysg==" spinCount="100000" sheet="1" formatCells="0" formatColumns="0" formatRows="0"/>
  <hyperlinks>
    <hyperlink ref="B10" r:id="rId1"/>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Word.Picture.8" shapeId="35841" r:id="rId5">
          <objectPr defaultSize="0" autoPict="0" r:id="rId6">
            <anchor moveWithCells="1" sizeWithCells="1">
              <from>
                <xdr:col>0</xdr:col>
                <xdr:colOff>38100</xdr:colOff>
                <xdr:row>1</xdr:row>
                <xdr:rowOff>15240</xdr:rowOff>
              </from>
              <to>
                <xdr:col>0</xdr:col>
                <xdr:colOff>327660</xdr:colOff>
                <xdr:row>2</xdr:row>
                <xdr:rowOff>129540</xdr:rowOff>
              </to>
            </anchor>
          </objectPr>
        </oleObject>
      </mc:Choice>
      <mc:Fallback>
        <oleObject progId="Word.Picture.8" shapeId="35841"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rgb="FF92D050"/>
  </sheetPr>
  <dimension ref="A1:AI41"/>
  <sheetViews>
    <sheetView tabSelected="1" topLeftCell="A4" zoomScale="70" zoomScaleNormal="70" workbookViewId="0">
      <pane xSplit="6" topLeftCell="G1" activePane="topRight" state="frozen"/>
      <selection pane="topRight" activeCell="E25" sqref="E25"/>
    </sheetView>
  </sheetViews>
  <sheetFormatPr defaultColWidth="11.44140625" defaultRowHeight="14.4" x14ac:dyDescent="0.3"/>
  <cols>
    <col min="1" max="1" width="3.44140625" style="46" customWidth="1" collapsed="1"/>
    <col min="2" max="2" width="5" style="75" customWidth="1" collapsed="1"/>
    <col min="3" max="3" width="18.88671875" style="46" customWidth="1" collapsed="1"/>
    <col min="4" max="4" width="25.109375" style="46" customWidth="1" collapsed="1"/>
    <col min="5" max="5" width="15.88671875" style="66" customWidth="1" collapsed="1"/>
    <col min="6" max="6" width="2.33203125" style="66" customWidth="1" collapsed="1"/>
    <col min="7" max="7" width="23.88671875" style="66" hidden="1" customWidth="1" collapsed="1"/>
    <col min="8" max="8" width="1.77734375" style="66" customWidth="1" collapsed="1"/>
    <col min="9" max="9" width="53.21875" style="66" customWidth="1" collapsed="1"/>
    <col min="10" max="10" width="2.6640625" style="66" customWidth="1" collapsed="1"/>
    <col min="11" max="11" width="51" style="66" customWidth="1" collapsed="1"/>
    <col min="12" max="12" width="3" style="66" customWidth="1" collapsed="1"/>
    <col min="13" max="13" width="16.6640625" style="66" customWidth="1" collapsed="1"/>
    <col min="14" max="14" width="3" style="66" customWidth="1" collapsed="1"/>
    <col min="15" max="15" width="26.6640625" style="66" customWidth="1" collapsed="1"/>
    <col min="16" max="16" width="3" style="66" customWidth="1" collapsed="1"/>
    <col min="17" max="17" width="44.21875" style="66" customWidth="1" collapsed="1"/>
    <col min="18" max="18" width="3" style="66" customWidth="1" collapsed="1"/>
    <col min="19" max="19" width="23.88671875" style="66" customWidth="1" collapsed="1"/>
    <col min="20" max="20" width="4.33203125" style="66" customWidth="1"/>
    <col min="21" max="21" width="15" style="66" customWidth="1"/>
    <col min="22" max="22" width="26.33203125" style="66" customWidth="1" collapsed="1"/>
    <col min="23" max="23" width="5.21875" style="66" customWidth="1"/>
    <col min="24" max="24" width="15" style="66" customWidth="1"/>
    <col min="25" max="25" width="3" style="66" customWidth="1" collapsed="1"/>
    <col min="26" max="26" width="32.77734375" style="66" customWidth="1" collapsed="1"/>
    <col min="27" max="27" width="3.109375" style="66" customWidth="1" collapsed="1"/>
    <col min="28" max="28" width="24.109375" style="66" customWidth="1" collapsed="1"/>
    <col min="29" max="31" width="11.44140625" style="66" collapsed="1"/>
    <col min="32" max="33" width="11.44140625" style="66"/>
    <col min="34" max="34" width="11.44140625" style="66" collapsed="1"/>
    <col min="35" max="35" width="11.44140625" style="66"/>
    <col min="36" max="16384" width="11.44140625" style="66" collapsed="1"/>
  </cols>
  <sheetData>
    <row r="1" spans="1:28" s="301" customFormat="1" ht="15.9" customHeight="1" x14ac:dyDescent="0.3">
      <c r="A1" s="323"/>
      <c r="B1" s="464" t="s">
        <v>459</v>
      </c>
      <c r="C1" s="323"/>
      <c r="D1" s="323"/>
      <c r="E1" s="323"/>
      <c r="F1" s="323"/>
      <c r="G1" s="323"/>
      <c r="H1" s="282"/>
      <c r="I1" s="282"/>
      <c r="J1" s="282"/>
      <c r="K1" s="282"/>
      <c r="L1" s="282"/>
      <c r="M1" s="282"/>
      <c r="N1" s="282"/>
      <c r="O1" s="282"/>
      <c r="P1" s="282"/>
      <c r="Q1" s="282"/>
      <c r="R1" s="282"/>
      <c r="S1" s="282"/>
      <c r="T1" s="282"/>
      <c r="U1" s="282"/>
      <c r="V1" s="282"/>
      <c r="W1" s="282"/>
      <c r="X1" s="282"/>
      <c r="Y1" s="282"/>
      <c r="Z1" s="282"/>
      <c r="AA1" s="281"/>
      <c r="AB1" s="281"/>
    </row>
    <row r="2" spans="1:28" s="301" customFormat="1" ht="17.25" customHeight="1" x14ac:dyDescent="0.3">
      <c r="A2" s="282"/>
      <c r="B2" s="575" t="s">
        <v>291</v>
      </c>
      <c r="C2" s="576"/>
      <c r="D2" s="576"/>
      <c r="E2" s="576"/>
      <c r="F2" s="323"/>
      <c r="H2" s="300"/>
      <c r="I2" s="328" t="s">
        <v>294</v>
      </c>
      <c r="J2" s="282"/>
      <c r="K2" s="282"/>
      <c r="L2" s="282"/>
      <c r="M2" s="282"/>
      <c r="N2" s="320" t="s">
        <v>302</v>
      </c>
      <c r="O2" s="282"/>
      <c r="P2" s="311"/>
      <c r="Q2" s="311"/>
      <c r="R2" s="311"/>
      <c r="S2" s="302"/>
      <c r="T2" s="302"/>
      <c r="U2" s="302"/>
      <c r="V2" s="302"/>
      <c r="W2" s="281"/>
      <c r="X2" s="282"/>
      <c r="Y2" s="282"/>
      <c r="Z2" s="282"/>
      <c r="AA2" s="281"/>
      <c r="AB2" s="281"/>
    </row>
    <row r="3" spans="1:28" s="301" customFormat="1" ht="24.75" customHeight="1" x14ac:dyDescent="0.3">
      <c r="A3" s="282"/>
      <c r="B3" s="576"/>
      <c r="C3" s="576"/>
      <c r="D3" s="576"/>
      <c r="E3" s="576"/>
      <c r="F3" s="323"/>
      <c r="H3" s="300"/>
      <c r="I3" s="329" t="s">
        <v>295</v>
      </c>
      <c r="J3" s="303"/>
      <c r="K3" s="303"/>
      <c r="L3" s="303"/>
      <c r="M3" s="282"/>
      <c r="N3" s="606" t="s">
        <v>303</v>
      </c>
      <c r="O3" s="605"/>
      <c r="P3" s="605"/>
      <c r="Q3" s="605"/>
      <c r="R3" s="605"/>
      <c r="S3" s="605"/>
      <c r="T3" s="605"/>
      <c r="U3" s="605"/>
      <c r="V3" s="311"/>
      <c r="W3" s="311"/>
      <c r="X3" s="282"/>
      <c r="Y3" s="282"/>
      <c r="Z3" s="282"/>
      <c r="AA3" s="281"/>
      <c r="AB3" s="281"/>
    </row>
    <row r="4" spans="1:28" s="301" customFormat="1" ht="22.8" customHeight="1" x14ac:dyDescent="0.3">
      <c r="A4" s="282"/>
      <c r="B4" s="577" t="s">
        <v>310</v>
      </c>
      <c r="C4" s="578"/>
      <c r="D4" s="578"/>
      <c r="E4" s="578"/>
      <c r="F4" s="578"/>
      <c r="H4" s="300"/>
      <c r="I4" s="330" t="s">
        <v>436</v>
      </c>
      <c r="J4" s="283"/>
      <c r="K4" s="283"/>
      <c r="L4" s="283"/>
      <c r="M4" s="282"/>
      <c r="N4" s="532" t="s">
        <v>304</v>
      </c>
      <c r="O4" s="330"/>
      <c r="P4" s="282"/>
      <c r="Q4" s="311"/>
      <c r="R4" s="311"/>
      <c r="S4" s="311"/>
      <c r="T4" s="304"/>
      <c r="U4" s="302"/>
      <c r="V4" s="304"/>
      <c r="W4" s="281"/>
      <c r="X4" s="281"/>
      <c r="Y4" s="281"/>
      <c r="Z4" s="281"/>
      <c r="AA4" s="281"/>
      <c r="AB4" s="281"/>
    </row>
    <row r="5" spans="1:28" s="301" customFormat="1" ht="18" customHeight="1" x14ac:dyDescent="0.3">
      <c r="A5" s="282"/>
      <c r="B5" s="578"/>
      <c r="C5" s="578"/>
      <c r="D5" s="578"/>
      <c r="E5" s="578"/>
      <c r="F5" s="578"/>
      <c r="H5" s="300"/>
      <c r="I5" s="331" t="s">
        <v>296</v>
      </c>
      <c r="J5" s="305"/>
      <c r="K5" s="305"/>
      <c r="L5" s="305"/>
      <c r="M5" s="282"/>
      <c r="N5" s="607" t="s">
        <v>305</v>
      </c>
      <c r="O5" s="607"/>
      <c r="P5" s="607"/>
      <c r="Q5" s="607"/>
      <c r="R5" s="607"/>
      <c r="S5" s="607"/>
      <c r="T5" s="607"/>
      <c r="U5" s="607"/>
      <c r="V5" s="304"/>
      <c r="W5" s="281"/>
      <c r="X5" s="281"/>
      <c r="Y5" s="281"/>
      <c r="Z5" s="281"/>
      <c r="AA5" s="281"/>
      <c r="AB5" s="281"/>
    </row>
    <row r="6" spans="1:28" s="301" customFormat="1" ht="5.25" customHeight="1" x14ac:dyDescent="0.3">
      <c r="A6" s="282"/>
      <c r="B6" s="306"/>
      <c r="C6" s="306"/>
      <c r="D6" s="306"/>
      <c r="E6" s="306"/>
      <c r="F6" s="306"/>
      <c r="H6" s="300"/>
      <c r="I6" s="331"/>
      <c r="J6" s="305"/>
      <c r="K6" s="305"/>
      <c r="L6" s="305"/>
      <c r="M6" s="282"/>
      <c r="N6" s="607"/>
      <c r="O6" s="607"/>
      <c r="P6" s="607"/>
      <c r="Q6" s="607"/>
      <c r="R6" s="607"/>
      <c r="S6" s="607"/>
      <c r="T6" s="607"/>
      <c r="U6" s="607"/>
      <c r="V6" s="304"/>
      <c r="W6" s="281"/>
      <c r="X6" s="281"/>
      <c r="Y6" s="281"/>
      <c r="Z6" s="281"/>
      <c r="AA6" s="281"/>
      <c r="AB6" s="281"/>
    </row>
    <row r="7" spans="1:28" s="301" customFormat="1" ht="15.9" customHeight="1" x14ac:dyDescent="0.3">
      <c r="A7" s="282"/>
      <c r="B7" s="573" t="s">
        <v>293</v>
      </c>
      <c r="C7" s="574"/>
      <c r="D7" s="570"/>
      <c r="E7" s="571"/>
      <c r="F7" s="572"/>
      <c r="H7" s="300"/>
      <c r="I7" s="330" t="s">
        <v>297</v>
      </c>
      <c r="J7" s="307"/>
      <c r="K7" s="307"/>
      <c r="L7" s="307"/>
      <c r="M7" s="282"/>
      <c r="N7" s="607"/>
      <c r="O7" s="607"/>
      <c r="P7" s="607"/>
      <c r="Q7" s="607"/>
      <c r="R7" s="607"/>
      <c r="S7" s="607"/>
      <c r="T7" s="607"/>
      <c r="U7" s="607"/>
      <c r="V7" s="304"/>
      <c r="W7" s="281"/>
      <c r="X7" s="281"/>
      <c r="Y7" s="281"/>
      <c r="Z7" s="281"/>
      <c r="AA7" s="281"/>
      <c r="AB7" s="281"/>
    </row>
    <row r="8" spans="1:28" s="301" customFormat="1" ht="5.25" customHeight="1" x14ac:dyDescent="0.3">
      <c r="A8" s="282"/>
      <c r="B8" s="318"/>
      <c r="C8" s="318"/>
      <c r="D8" s="308"/>
      <c r="E8" s="308"/>
      <c r="F8" s="308"/>
      <c r="H8" s="300"/>
      <c r="I8" s="330"/>
      <c r="J8" s="307"/>
      <c r="K8" s="307"/>
      <c r="L8" s="307"/>
      <c r="M8" s="282"/>
      <c r="N8" s="307"/>
      <c r="O8" s="307"/>
      <c r="P8" s="282"/>
      <c r="Q8" s="346"/>
      <c r="R8" s="346"/>
      <c r="S8" s="346"/>
      <c r="T8" s="309"/>
      <c r="U8" s="309"/>
      <c r="V8" s="304"/>
      <c r="W8" s="281"/>
      <c r="X8" s="281"/>
      <c r="Y8" s="281"/>
      <c r="Z8" s="281"/>
      <c r="AA8" s="281"/>
      <c r="AB8" s="281"/>
    </row>
    <row r="9" spans="1:28" s="301" customFormat="1" ht="15.9" customHeight="1" x14ac:dyDescent="0.25">
      <c r="A9" s="282"/>
      <c r="B9" s="573" t="s">
        <v>285</v>
      </c>
      <c r="C9" s="574"/>
      <c r="D9" s="579"/>
      <c r="E9" s="580"/>
      <c r="F9" s="581"/>
      <c r="H9" s="300"/>
      <c r="I9" s="331" t="s">
        <v>298</v>
      </c>
      <c r="J9" s="313"/>
      <c r="K9" s="313"/>
      <c r="L9" s="313"/>
      <c r="M9" s="282"/>
      <c r="N9" s="607" t="s">
        <v>306</v>
      </c>
      <c r="O9" s="608"/>
      <c r="P9" s="608"/>
      <c r="Q9" s="608"/>
      <c r="R9" s="608"/>
      <c r="S9" s="608"/>
      <c r="T9" s="608"/>
      <c r="U9" s="608"/>
      <c r="V9" s="304"/>
      <c r="W9" s="281"/>
      <c r="X9" s="281"/>
      <c r="Y9" s="281"/>
      <c r="Z9" s="281"/>
      <c r="AA9" s="281"/>
      <c r="AB9" s="281"/>
    </row>
    <row r="10" spans="1:28" s="301" customFormat="1" ht="5.25" customHeight="1" x14ac:dyDescent="0.3">
      <c r="A10" s="282"/>
      <c r="B10" s="318"/>
      <c r="C10" s="318"/>
      <c r="D10" s="308"/>
      <c r="E10" s="308"/>
      <c r="F10" s="308"/>
      <c r="H10" s="300"/>
      <c r="I10" s="332"/>
      <c r="J10" s="310"/>
      <c r="K10" s="310"/>
      <c r="L10" s="310"/>
      <c r="M10" s="282"/>
      <c r="N10" s="345"/>
      <c r="O10" s="345"/>
      <c r="P10" s="345"/>
      <c r="Q10" s="345"/>
      <c r="R10" s="345"/>
      <c r="S10" s="345"/>
      <c r="T10" s="345"/>
      <c r="U10" s="338"/>
      <c r="V10" s="304"/>
      <c r="W10" s="281"/>
      <c r="X10" s="281"/>
      <c r="Y10" s="281"/>
      <c r="Z10" s="281"/>
      <c r="AA10" s="281"/>
      <c r="AB10" s="281"/>
    </row>
    <row r="11" spans="1:28" s="301" customFormat="1" ht="15" customHeight="1" x14ac:dyDescent="0.3">
      <c r="A11" s="282"/>
      <c r="B11" s="573" t="s">
        <v>280</v>
      </c>
      <c r="C11" s="574"/>
      <c r="D11" s="579">
        <v>2022</v>
      </c>
      <c r="E11" s="580"/>
      <c r="F11" s="581"/>
      <c r="H11" s="300"/>
      <c r="I11" s="333" t="s">
        <v>299</v>
      </c>
      <c r="J11" s="312"/>
      <c r="K11" s="312"/>
      <c r="L11" s="312"/>
      <c r="M11" s="282"/>
      <c r="N11" s="604" t="s">
        <v>309</v>
      </c>
      <c r="O11" s="605"/>
      <c r="P11" s="605"/>
      <c r="Q11" s="605"/>
      <c r="R11" s="605"/>
      <c r="S11" s="605"/>
      <c r="T11" s="605"/>
      <c r="U11" s="605"/>
      <c r="V11" s="304"/>
      <c r="W11" s="281"/>
      <c r="X11" s="281"/>
      <c r="Y11" s="281"/>
      <c r="Z11" s="281"/>
      <c r="AA11" s="281"/>
      <c r="AB11" s="281"/>
    </row>
    <row r="12" spans="1:28" s="301" customFormat="1" ht="5.25" customHeight="1" x14ac:dyDescent="0.3">
      <c r="A12" s="282"/>
      <c r="B12" s="318"/>
      <c r="C12" s="318"/>
      <c r="D12" s="308"/>
      <c r="E12" s="308"/>
      <c r="F12" s="308"/>
      <c r="H12" s="300"/>
      <c r="I12" s="333"/>
      <c r="J12" s="312"/>
      <c r="K12" s="312"/>
      <c r="L12" s="312"/>
      <c r="M12" s="282"/>
      <c r="N12" s="312"/>
      <c r="O12" s="312"/>
      <c r="P12" s="282"/>
      <c r="Q12" s="312"/>
      <c r="R12" s="312"/>
      <c r="S12" s="312"/>
      <c r="T12" s="312"/>
      <c r="U12" s="312"/>
      <c r="V12" s="304"/>
      <c r="W12" s="281"/>
      <c r="X12" s="281"/>
      <c r="Y12" s="281"/>
      <c r="Z12" s="281"/>
      <c r="AA12" s="281"/>
      <c r="AB12" s="281"/>
    </row>
    <row r="13" spans="1:28" s="301" customFormat="1" ht="17.25" customHeight="1" x14ac:dyDescent="0.3">
      <c r="A13" s="282"/>
      <c r="B13" s="573" t="s">
        <v>281</v>
      </c>
      <c r="C13" s="574"/>
      <c r="D13" s="570"/>
      <c r="E13" s="571"/>
      <c r="F13" s="572"/>
      <c r="H13" s="300"/>
      <c r="I13" s="331" t="s">
        <v>437</v>
      </c>
      <c r="J13" s="319"/>
      <c r="K13" s="319"/>
      <c r="L13" s="319"/>
      <c r="M13" s="282"/>
      <c r="N13" s="312"/>
      <c r="O13" s="604"/>
      <c r="P13" s="605"/>
      <c r="Q13" s="605"/>
      <c r="R13" s="605"/>
      <c r="S13" s="605"/>
      <c r="T13" s="605"/>
      <c r="U13" s="605"/>
      <c r="V13" s="605"/>
      <c r="W13" s="281"/>
      <c r="X13" s="281"/>
      <c r="Y13" s="281"/>
      <c r="Z13" s="281"/>
      <c r="AA13" s="281"/>
      <c r="AB13" s="281"/>
    </row>
    <row r="14" spans="1:28" s="301" customFormat="1" ht="5.25" customHeight="1" x14ac:dyDescent="0.3">
      <c r="A14" s="282"/>
      <c r="B14" s="318"/>
      <c r="C14" s="318"/>
      <c r="D14" s="308"/>
      <c r="E14" s="308"/>
      <c r="F14" s="308"/>
      <c r="H14" s="300"/>
      <c r="I14" s="334"/>
      <c r="J14" s="319"/>
      <c r="K14" s="319"/>
      <c r="L14" s="319"/>
      <c r="M14" s="282"/>
      <c r="N14" s="319"/>
      <c r="O14" s="282"/>
      <c r="P14" s="311"/>
      <c r="Q14" s="311"/>
      <c r="R14" s="311"/>
      <c r="S14" s="314"/>
      <c r="T14" s="314"/>
      <c r="U14" s="314"/>
      <c r="V14" s="304"/>
      <c r="W14" s="281"/>
      <c r="X14" s="281"/>
      <c r="Y14" s="281"/>
      <c r="Z14" s="281"/>
      <c r="AA14" s="281"/>
      <c r="AB14" s="281"/>
    </row>
    <row r="15" spans="1:28" s="301" customFormat="1" ht="17.25" customHeight="1" x14ac:dyDescent="0.3">
      <c r="A15" s="282"/>
      <c r="B15" s="573" t="s">
        <v>282</v>
      </c>
      <c r="C15" s="574"/>
      <c r="D15" s="570"/>
      <c r="E15" s="571"/>
      <c r="F15" s="572"/>
      <c r="H15" s="300"/>
      <c r="I15" s="333" t="s">
        <v>300</v>
      </c>
      <c r="J15" s="319"/>
      <c r="K15" s="319"/>
      <c r="L15" s="319"/>
      <c r="M15" s="282"/>
      <c r="N15" s="533" t="s">
        <v>429</v>
      </c>
      <c r="O15" s="282"/>
      <c r="P15" s="311"/>
      <c r="Q15" s="311"/>
      <c r="R15" s="311"/>
      <c r="S15" s="311"/>
      <c r="T15" s="311"/>
      <c r="U15" s="311"/>
      <c r="V15" s="304"/>
      <c r="W15" s="281"/>
      <c r="X15" s="281"/>
      <c r="Y15" s="281"/>
      <c r="Z15" s="281"/>
      <c r="AA15" s="281"/>
      <c r="AB15" s="281"/>
    </row>
    <row r="16" spans="1:28" s="301" customFormat="1" ht="17.25" customHeight="1" x14ac:dyDescent="0.3">
      <c r="A16" s="282"/>
      <c r="B16" s="321"/>
      <c r="C16" s="321"/>
      <c r="D16" s="321"/>
      <c r="E16" s="321"/>
      <c r="F16" s="321"/>
      <c r="H16" s="300"/>
      <c r="I16" s="331" t="s">
        <v>301</v>
      </c>
      <c r="J16" s="312"/>
      <c r="K16" s="312"/>
      <c r="L16" s="312"/>
      <c r="M16" s="312"/>
      <c r="N16" s="531" t="s">
        <v>435</v>
      </c>
      <c r="O16" s="282"/>
      <c r="P16" s="311"/>
      <c r="Q16" s="311"/>
      <c r="R16" s="311"/>
      <c r="S16" s="311"/>
      <c r="T16" s="311"/>
      <c r="U16" s="311"/>
      <c r="V16" s="304"/>
      <c r="W16" s="281"/>
      <c r="X16" s="281"/>
      <c r="Y16" s="281"/>
      <c r="Z16" s="281"/>
      <c r="AA16" s="281"/>
      <c r="AB16" s="281"/>
    </row>
    <row r="17" spans="1:31" s="301" customFormat="1" ht="4.6500000000000004" customHeight="1" x14ac:dyDescent="0.3">
      <c r="A17" s="282"/>
      <c r="B17" s="322"/>
      <c r="C17" s="322"/>
      <c r="D17" s="322"/>
      <c r="E17" s="322"/>
      <c r="F17" s="322"/>
      <c r="H17" s="300"/>
      <c r="I17" s="331"/>
      <c r="J17" s="312"/>
      <c r="K17" s="312"/>
      <c r="L17" s="312"/>
      <c r="M17" s="312"/>
      <c r="N17" s="312"/>
      <c r="O17" s="282"/>
      <c r="P17" s="312"/>
      <c r="Q17" s="312"/>
      <c r="R17" s="312"/>
      <c r="S17" s="312"/>
      <c r="T17" s="312"/>
      <c r="U17" s="312"/>
      <c r="V17" s="312"/>
      <c r="W17" s="312"/>
      <c r="X17" s="312"/>
      <c r="Y17" s="312"/>
      <c r="Z17" s="312"/>
      <c r="AA17" s="312"/>
      <c r="AB17" s="312"/>
    </row>
    <row r="18" spans="1:31" s="301" customFormat="1" ht="15" customHeight="1" x14ac:dyDescent="0.3">
      <c r="A18" s="282"/>
      <c r="B18" s="321"/>
      <c r="C18" s="321"/>
      <c r="D18" s="321"/>
      <c r="E18" s="321"/>
      <c r="F18" s="321"/>
      <c r="H18" s="300"/>
      <c r="I18" s="331" t="s">
        <v>307</v>
      </c>
      <c r="J18" s="281"/>
      <c r="K18" s="281"/>
      <c r="L18" s="281"/>
      <c r="M18" s="281"/>
      <c r="N18" s="281"/>
      <c r="O18" s="282"/>
      <c r="P18" s="305"/>
      <c r="Q18" s="305"/>
      <c r="R18" s="305"/>
      <c r="S18" s="305"/>
      <c r="T18" s="305"/>
      <c r="U18" s="305"/>
      <c r="V18" s="305"/>
      <c r="W18" s="281"/>
      <c r="X18" s="305"/>
      <c r="Y18" s="305"/>
      <c r="Z18" s="305"/>
      <c r="AA18" s="305"/>
      <c r="AB18" s="305"/>
    </row>
    <row r="19" spans="1:31" s="301" customFormat="1" ht="15" hidden="1" customHeight="1" x14ac:dyDescent="0.3">
      <c r="A19" s="282"/>
      <c r="B19" s="306"/>
      <c r="C19" s="306"/>
      <c r="D19" s="306"/>
      <c r="E19" s="306"/>
      <c r="F19" s="306"/>
      <c r="G19" s="300"/>
      <c r="H19" s="300"/>
      <c r="I19" s="281"/>
      <c r="J19" s="281"/>
      <c r="K19" s="281"/>
      <c r="L19" s="281"/>
      <c r="M19" s="281"/>
      <c r="N19" s="281"/>
      <c r="O19" s="282"/>
      <c r="P19" s="305"/>
      <c r="Q19" s="305"/>
      <c r="R19" s="305"/>
      <c r="S19" s="305"/>
      <c r="T19" s="305"/>
      <c r="U19" s="305"/>
      <c r="V19" s="305"/>
      <c r="W19" s="305"/>
      <c r="X19" s="305"/>
      <c r="Y19" s="305"/>
      <c r="Z19" s="305"/>
      <c r="AA19" s="305"/>
      <c r="AB19" s="305"/>
    </row>
    <row r="20" spans="1:31" s="46" customFormat="1" ht="15" customHeight="1" x14ac:dyDescent="0.3">
      <c r="A20" s="45"/>
      <c r="B20" s="45"/>
      <c r="C20" s="45"/>
      <c r="D20" s="45"/>
      <c r="E20" s="45"/>
      <c r="F20" s="45"/>
      <c r="G20" s="45"/>
      <c r="H20" s="47"/>
      <c r="I20" s="47"/>
      <c r="J20" s="47"/>
      <c r="K20" s="47"/>
      <c r="L20" s="47"/>
      <c r="M20" s="47"/>
      <c r="N20" s="47"/>
      <c r="O20" s="48"/>
      <c r="P20" s="48"/>
      <c r="Q20" s="48"/>
      <c r="R20" s="48"/>
      <c r="S20" s="48"/>
      <c r="T20" s="48"/>
      <c r="U20" s="48"/>
      <c r="V20" s="48"/>
      <c r="W20" s="48"/>
      <c r="X20" s="48"/>
      <c r="Y20" s="48"/>
      <c r="Z20" s="48"/>
      <c r="AA20" s="48"/>
      <c r="AB20" s="48"/>
    </row>
    <row r="21" spans="1:31" s="46" customFormat="1" ht="15" customHeight="1" x14ac:dyDescent="0.3">
      <c r="B21" s="49"/>
      <c r="C21" s="50"/>
      <c r="D21" s="50"/>
      <c r="E21" s="50"/>
      <c r="F21" s="50"/>
      <c r="G21" s="50"/>
      <c r="H21" s="50"/>
      <c r="I21" s="50"/>
      <c r="J21" s="50"/>
      <c r="K21" s="51"/>
      <c r="L21" s="51"/>
      <c r="M21" s="50"/>
      <c r="N21" s="51"/>
      <c r="O21" s="51"/>
      <c r="P21" s="51"/>
      <c r="Q21" s="51"/>
      <c r="R21" s="52"/>
      <c r="S21" s="52"/>
      <c r="T21" s="52"/>
      <c r="U21" s="52"/>
      <c r="V21" s="52"/>
      <c r="W21" s="52"/>
      <c r="X21" s="52"/>
      <c r="Y21" s="52"/>
      <c r="Z21" s="52"/>
      <c r="AA21" s="52"/>
    </row>
    <row r="22" spans="1:31" s="46" customFormat="1" ht="35.549999999999997" customHeight="1" x14ac:dyDescent="0.3">
      <c r="B22" s="596" t="s">
        <v>308</v>
      </c>
      <c r="C22" s="597" t="s">
        <v>246</v>
      </c>
      <c r="D22" s="593"/>
      <c r="E22" s="600" t="s">
        <v>279</v>
      </c>
      <c r="F22" s="50"/>
      <c r="G22" s="593" t="s">
        <v>326</v>
      </c>
      <c r="H22" s="50"/>
      <c r="I22" s="582" t="s">
        <v>245</v>
      </c>
      <c r="J22" s="53"/>
      <c r="K22" s="591" t="s">
        <v>244</v>
      </c>
      <c r="L22" s="54"/>
      <c r="M22" s="526" t="s">
        <v>283</v>
      </c>
      <c r="N22" s="54"/>
      <c r="O22" s="584" t="s">
        <v>247</v>
      </c>
      <c r="P22" s="56"/>
      <c r="Q22" s="589" t="s">
        <v>253</v>
      </c>
      <c r="R22" s="55"/>
      <c r="S22" s="584" t="s">
        <v>254</v>
      </c>
      <c r="T22" s="584"/>
      <c r="U22" s="584"/>
      <c r="V22" s="584"/>
      <c r="W22" s="584"/>
      <c r="X22" s="588"/>
      <c r="Y22" s="55"/>
      <c r="Z22" s="609" t="s">
        <v>257</v>
      </c>
      <c r="AA22" s="55"/>
      <c r="AB22" s="602" t="s">
        <v>430</v>
      </c>
    </row>
    <row r="23" spans="1:31" s="46" customFormat="1" ht="45.15" customHeight="1" x14ac:dyDescent="0.3">
      <c r="B23" s="596"/>
      <c r="C23" s="598"/>
      <c r="D23" s="599"/>
      <c r="E23" s="601"/>
      <c r="F23" s="50"/>
      <c r="G23" s="588"/>
      <c r="H23" s="50"/>
      <c r="I23" s="583"/>
      <c r="J23" s="56"/>
      <c r="K23" s="592"/>
      <c r="L23" s="56"/>
      <c r="M23" s="341" t="s">
        <v>13</v>
      </c>
      <c r="N23" s="56"/>
      <c r="O23" s="584"/>
      <c r="P23" s="56"/>
      <c r="Q23" s="590"/>
      <c r="R23" s="55"/>
      <c r="S23" s="204" t="s">
        <v>256</v>
      </c>
      <c r="T23" s="204"/>
      <c r="U23" s="520" t="s">
        <v>431</v>
      </c>
      <c r="V23" s="204" t="s">
        <v>255</v>
      </c>
      <c r="W23" s="204"/>
      <c r="X23" s="520" t="s">
        <v>431</v>
      </c>
      <c r="Y23" s="55"/>
      <c r="Z23" s="610"/>
      <c r="AA23" s="55"/>
      <c r="AB23" s="603"/>
    </row>
    <row r="24" spans="1:31" s="46" customFormat="1" ht="6.75" customHeight="1" x14ac:dyDescent="0.3">
      <c r="B24" s="596"/>
      <c r="C24" s="57"/>
      <c r="D24" s="57"/>
      <c r="E24" s="57"/>
      <c r="F24" s="50"/>
      <c r="G24" s="57"/>
      <c r="H24" s="50"/>
      <c r="I24" s="58"/>
      <c r="J24" s="59"/>
      <c r="K24" s="60"/>
      <c r="L24" s="56"/>
      <c r="M24" s="61"/>
      <c r="N24" s="56"/>
      <c r="O24" s="205"/>
      <c r="P24" s="56"/>
      <c r="Q24" s="62"/>
      <c r="R24" s="55"/>
      <c r="S24" s="340"/>
      <c r="T24" s="340"/>
      <c r="U24" s="342"/>
      <c r="V24" s="340"/>
      <c r="W24" s="340"/>
      <c r="X24" s="340"/>
      <c r="Y24" s="55"/>
      <c r="Z24" s="63"/>
      <c r="AA24" s="55"/>
      <c r="AB24" s="529"/>
    </row>
    <row r="25" spans="1:31" ht="15" customHeight="1" x14ac:dyDescent="0.3">
      <c r="B25" s="596"/>
      <c r="C25" s="594" t="s">
        <v>320</v>
      </c>
      <c r="D25" s="595"/>
      <c r="E25" s="536">
        <v>0</v>
      </c>
      <c r="F25" s="50"/>
      <c r="G25" s="459">
        <v>3.45</v>
      </c>
      <c r="H25" s="352"/>
      <c r="I25" s="535" t="s">
        <v>219</v>
      </c>
      <c r="J25" s="65"/>
      <c r="K25" s="124" t="s">
        <v>227</v>
      </c>
      <c r="L25" s="56"/>
      <c r="M25" s="64" t="s">
        <v>14</v>
      </c>
      <c r="N25" s="460">
        <f>IF(M25="NO",0,1)</f>
        <v>0</v>
      </c>
      <c r="O25" s="124" t="s">
        <v>250</v>
      </c>
      <c r="P25" s="56"/>
      <c r="Q25" s="124" t="s">
        <v>234</v>
      </c>
      <c r="R25" s="55"/>
      <c r="S25" s="343" t="s">
        <v>251</v>
      </c>
      <c r="T25" s="521">
        <f>IF(S25="A d'altres usos no agraris",1,0)</f>
        <v>0</v>
      </c>
      <c r="U25" s="585">
        <v>0.5</v>
      </c>
      <c r="V25" s="525" t="s">
        <v>251</v>
      </c>
      <c r="W25" s="521">
        <f>IF(V25="A d'altres usos no agraris",1,0)</f>
        <v>0</v>
      </c>
      <c r="X25" s="585">
        <v>0.5</v>
      </c>
      <c r="Y25" s="55"/>
      <c r="Z25" s="124" t="s">
        <v>242</v>
      </c>
      <c r="AA25" s="55"/>
      <c r="AB25" s="124"/>
      <c r="AC25" s="46"/>
      <c r="AD25" s="46"/>
      <c r="AE25" s="46"/>
    </row>
    <row r="26" spans="1:31" s="46" customFormat="1" ht="15" customHeight="1" x14ac:dyDescent="0.3">
      <c r="B26" s="596"/>
      <c r="C26" s="594"/>
      <c r="D26" s="595"/>
      <c r="E26" s="57"/>
      <c r="F26" s="50"/>
      <c r="G26" s="57"/>
      <c r="H26" s="352"/>
      <c r="I26" s="126"/>
      <c r="J26" s="67"/>
      <c r="K26" s="125"/>
      <c r="L26" s="67"/>
      <c r="M26" s="61"/>
      <c r="N26" s="461"/>
      <c r="O26" s="203"/>
      <c r="P26" s="67"/>
      <c r="Q26" s="127"/>
      <c r="R26" s="55"/>
      <c r="S26" s="203"/>
      <c r="T26" s="521"/>
      <c r="U26" s="586"/>
      <c r="V26" s="522"/>
      <c r="W26" s="521"/>
      <c r="X26" s="586"/>
      <c r="Y26" s="55"/>
      <c r="Z26" s="128"/>
      <c r="AA26" s="55"/>
      <c r="AB26" s="529"/>
    </row>
    <row r="27" spans="1:31" ht="15" customHeight="1" x14ac:dyDescent="0.3">
      <c r="B27" s="596"/>
      <c r="C27" s="594" t="s">
        <v>321</v>
      </c>
      <c r="D27" s="595"/>
      <c r="E27" s="536">
        <v>0</v>
      </c>
      <c r="F27" s="50"/>
      <c r="G27" s="459">
        <v>10.4</v>
      </c>
      <c r="H27" s="352"/>
      <c r="I27" s="535" t="s">
        <v>219</v>
      </c>
      <c r="J27" s="65"/>
      <c r="K27" s="124" t="s">
        <v>227</v>
      </c>
      <c r="L27" s="65"/>
      <c r="M27" s="64" t="s">
        <v>14</v>
      </c>
      <c r="N27" s="460">
        <f>IF(M27="NO",0,1)</f>
        <v>0</v>
      </c>
      <c r="O27" s="124" t="s">
        <v>250</v>
      </c>
      <c r="P27" s="56"/>
      <c r="Q27" s="124" t="s">
        <v>234</v>
      </c>
      <c r="R27" s="55"/>
      <c r="S27" s="343" t="s">
        <v>251</v>
      </c>
      <c r="T27" s="521">
        <f>IF(S27="A d'altres usos no agraris",1,0)</f>
        <v>0</v>
      </c>
      <c r="U27" s="586"/>
      <c r="V27" s="534" t="s">
        <v>251</v>
      </c>
      <c r="W27" s="521">
        <f>IF(V27="A d'altres usos no agraris",1,0)</f>
        <v>0</v>
      </c>
      <c r="X27" s="586"/>
      <c r="Y27" s="55"/>
      <c r="Z27" s="124" t="s">
        <v>242</v>
      </c>
      <c r="AA27" s="55"/>
      <c r="AB27" s="124"/>
      <c r="AC27" s="46"/>
      <c r="AD27" s="46"/>
      <c r="AE27" s="46"/>
    </row>
    <row r="28" spans="1:31" s="46" customFormat="1" ht="15" customHeight="1" x14ac:dyDescent="0.3">
      <c r="B28" s="596"/>
      <c r="C28" s="344"/>
      <c r="D28" s="344"/>
      <c r="E28" s="57"/>
      <c r="F28" s="50"/>
      <c r="G28" s="57"/>
      <c r="H28" s="352"/>
      <c r="I28" s="126"/>
      <c r="J28" s="67"/>
      <c r="K28" s="125"/>
      <c r="L28" s="67"/>
      <c r="M28" s="61"/>
      <c r="N28" s="461"/>
      <c r="O28" s="203"/>
      <c r="P28" s="67"/>
      <c r="Q28" s="127"/>
      <c r="R28" s="55"/>
      <c r="S28" s="203"/>
      <c r="T28" s="521"/>
      <c r="U28" s="586"/>
      <c r="V28" s="523"/>
      <c r="W28" s="521"/>
      <c r="X28" s="586"/>
      <c r="Y28" s="55"/>
      <c r="Z28" s="128"/>
      <c r="AA28" s="55"/>
      <c r="AB28" s="529"/>
    </row>
    <row r="29" spans="1:31" ht="15" customHeight="1" x14ac:dyDescent="0.3">
      <c r="B29" s="596"/>
      <c r="C29" s="594" t="s">
        <v>313</v>
      </c>
      <c r="D29" s="595"/>
      <c r="E29" s="536">
        <v>0</v>
      </c>
      <c r="F29" s="50"/>
      <c r="G29" s="459">
        <v>18.75</v>
      </c>
      <c r="H29" s="352"/>
      <c r="I29" s="535" t="s">
        <v>219</v>
      </c>
      <c r="J29" s="65"/>
      <c r="K29" s="124" t="s">
        <v>227</v>
      </c>
      <c r="L29" s="65"/>
      <c r="M29" s="64" t="s">
        <v>14</v>
      </c>
      <c r="N29" s="460">
        <f>IF(M29="NO",0,1)</f>
        <v>0</v>
      </c>
      <c r="O29" s="124" t="s">
        <v>250</v>
      </c>
      <c r="P29" s="56"/>
      <c r="Q29" s="124" t="s">
        <v>234</v>
      </c>
      <c r="R29" s="55"/>
      <c r="S29" s="343" t="s">
        <v>251</v>
      </c>
      <c r="T29" s="521">
        <f>IF(S29="A d'altres usos no agraris",1,0)</f>
        <v>0</v>
      </c>
      <c r="U29" s="586"/>
      <c r="V29" s="525" t="s">
        <v>251</v>
      </c>
      <c r="W29" s="521">
        <f>IF(V29="A d'altres usos no agraris",1,0)</f>
        <v>0</v>
      </c>
      <c r="X29" s="586"/>
      <c r="Y29" s="55"/>
      <c r="Z29" s="124" t="s">
        <v>242</v>
      </c>
      <c r="AA29" s="55"/>
      <c r="AB29" s="124"/>
      <c r="AC29" s="46"/>
      <c r="AD29" s="46"/>
      <c r="AE29" s="46"/>
    </row>
    <row r="30" spans="1:31" s="46" customFormat="1" ht="15" customHeight="1" x14ac:dyDescent="0.3">
      <c r="B30" s="596"/>
      <c r="C30" s="344"/>
      <c r="D30" s="344"/>
      <c r="E30" s="57"/>
      <c r="F30" s="50"/>
      <c r="G30" s="57"/>
      <c r="H30" s="352"/>
      <c r="I30" s="126"/>
      <c r="J30" s="67"/>
      <c r="K30" s="125"/>
      <c r="L30" s="67"/>
      <c r="M30" s="61"/>
      <c r="N30" s="461"/>
      <c r="O30" s="203"/>
      <c r="P30" s="67"/>
      <c r="Q30" s="127"/>
      <c r="R30" s="55"/>
      <c r="S30" s="203"/>
      <c r="T30" s="521"/>
      <c r="U30" s="586"/>
      <c r="V30" s="524"/>
      <c r="W30" s="521"/>
      <c r="X30" s="586"/>
      <c r="Y30" s="55"/>
      <c r="Z30" s="128"/>
      <c r="AA30" s="55"/>
      <c r="AB30" s="529"/>
    </row>
    <row r="31" spans="1:31" ht="15" customHeight="1" x14ac:dyDescent="0.3">
      <c r="B31" s="596"/>
      <c r="C31" s="594" t="s">
        <v>314</v>
      </c>
      <c r="D31" s="595"/>
      <c r="E31" s="536">
        <v>0</v>
      </c>
      <c r="F31" s="50"/>
      <c r="G31" s="459">
        <v>13.2</v>
      </c>
      <c r="H31" s="352"/>
      <c r="I31" s="535" t="s">
        <v>219</v>
      </c>
      <c r="J31" s="65"/>
      <c r="K31" s="124" t="s">
        <v>227</v>
      </c>
      <c r="L31" s="65"/>
      <c r="M31" s="64" t="s">
        <v>14</v>
      </c>
      <c r="N31" s="460">
        <f>IF(M31="NO",0,1)</f>
        <v>0</v>
      </c>
      <c r="O31" s="124" t="s">
        <v>250</v>
      </c>
      <c r="P31" s="56"/>
      <c r="Q31" s="124" t="s">
        <v>234</v>
      </c>
      <c r="R31" s="55"/>
      <c r="S31" s="343" t="s">
        <v>251</v>
      </c>
      <c r="T31" s="521">
        <f>IF(S31="A d'altres usos no agraris",1,0)</f>
        <v>0</v>
      </c>
      <c r="U31" s="586"/>
      <c r="V31" s="525" t="s">
        <v>251</v>
      </c>
      <c r="W31" s="521">
        <f>IF(V31="A d'altres usos no agraris",1,0)</f>
        <v>0</v>
      </c>
      <c r="X31" s="586"/>
      <c r="Y31" s="55"/>
      <c r="Z31" s="124" t="s">
        <v>242</v>
      </c>
      <c r="AA31" s="55"/>
      <c r="AB31" s="124"/>
      <c r="AC31" s="46"/>
      <c r="AD31" s="46"/>
      <c r="AE31" s="46"/>
    </row>
    <row r="32" spans="1:31" s="46" customFormat="1" ht="15" customHeight="1" x14ac:dyDescent="0.3">
      <c r="B32" s="596"/>
      <c r="C32" s="344"/>
      <c r="D32" s="344"/>
      <c r="E32" s="57"/>
      <c r="F32" s="50"/>
      <c r="G32" s="57"/>
      <c r="H32" s="352"/>
      <c r="I32" s="126"/>
      <c r="J32" s="67"/>
      <c r="K32" s="125"/>
      <c r="L32" s="67"/>
      <c r="M32" s="61"/>
      <c r="N32" s="461"/>
      <c r="O32" s="203"/>
      <c r="P32" s="67"/>
      <c r="Q32" s="127"/>
      <c r="R32" s="55"/>
      <c r="S32" s="203"/>
      <c r="T32" s="521"/>
      <c r="U32" s="586"/>
      <c r="V32" s="524"/>
      <c r="W32" s="521"/>
      <c r="X32" s="586"/>
      <c r="Y32" s="55"/>
      <c r="Z32" s="128"/>
      <c r="AA32" s="55"/>
      <c r="AB32" s="529"/>
    </row>
    <row r="33" spans="2:31" ht="15" customHeight="1" x14ac:dyDescent="0.3">
      <c r="B33" s="596"/>
      <c r="C33" s="594" t="s">
        <v>312</v>
      </c>
      <c r="D33" s="595"/>
      <c r="E33" s="536">
        <v>0</v>
      </c>
      <c r="F33" s="349"/>
      <c r="G33" s="459">
        <v>19.329999999999998</v>
      </c>
      <c r="H33" s="352"/>
      <c r="I33" s="535" t="s">
        <v>219</v>
      </c>
      <c r="J33" s="65"/>
      <c r="K33" s="124" t="s">
        <v>227</v>
      </c>
      <c r="L33" s="65"/>
      <c r="M33" s="64" t="s">
        <v>14</v>
      </c>
      <c r="N33" s="460">
        <f>IF(M33="NO",0,1)</f>
        <v>0</v>
      </c>
      <c r="O33" s="124" t="s">
        <v>250</v>
      </c>
      <c r="P33" s="56"/>
      <c r="Q33" s="124" t="s">
        <v>234</v>
      </c>
      <c r="R33" s="55"/>
      <c r="S33" s="343" t="s">
        <v>251</v>
      </c>
      <c r="T33" s="521">
        <f>IF(S33="A d'altres usos no agraris",1,0)</f>
        <v>0</v>
      </c>
      <c r="U33" s="587"/>
      <c r="V33" s="525" t="s">
        <v>251</v>
      </c>
      <c r="W33" s="521">
        <f>IF(V33="A d'altres usos no agraris",1,0)</f>
        <v>0</v>
      </c>
      <c r="X33" s="587"/>
      <c r="Y33" s="55"/>
      <c r="Z33" s="124" t="s">
        <v>242</v>
      </c>
      <c r="AA33" s="55"/>
      <c r="AB33" s="124"/>
      <c r="AC33" s="46"/>
      <c r="AD33" s="46"/>
      <c r="AE33" s="46"/>
    </row>
    <row r="34" spans="2:31" s="46" customFormat="1" ht="15" customHeight="1" x14ac:dyDescent="0.3">
      <c r="B34" s="596"/>
      <c r="C34" s="356"/>
      <c r="D34" s="344"/>
      <c r="E34" s="347"/>
      <c r="F34" s="348"/>
      <c r="G34" s="57"/>
      <c r="H34" s="50"/>
      <c r="I34" s="126"/>
      <c r="J34" s="67"/>
      <c r="K34" s="125"/>
      <c r="L34" s="67"/>
      <c r="M34" s="61"/>
      <c r="N34" s="462">
        <f>SUM(N25:N33)</f>
        <v>0</v>
      </c>
      <c r="O34" s="203"/>
      <c r="P34" s="67"/>
      <c r="Q34" s="127"/>
      <c r="R34" s="55"/>
      <c r="S34" s="203"/>
      <c r="T34" s="463">
        <f>SUM(T25:T33)</f>
        <v>0</v>
      </c>
      <c r="U34" s="203"/>
      <c r="V34" s="206"/>
      <c r="W34" s="463">
        <f>SUM(W25:W33)</f>
        <v>0</v>
      </c>
      <c r="X34" s="206"/>
      <c r="Y34" s="55"/>
      <c r="Z34" s="128"/>
      <c r="AA34" s="55"/>
      <c r="AB34" s="529"/>
    </row>
    <row r="35" spans="2:31" ht="15" customHeight="1" x14ac:dyDescent="0.3">
      <c r="B35" s="596"/>
      <c r="C35" s="69" t="s">
        <v>284</v>
      </c>
      <c r="D35" s="70"/>
      <c r="E35" s="537" t="str">
        <f>IF(SUM(E25:E34)&gt;0,SUM(E25:E34),"")</f>
        <v/>
      </c>
      <c r="F35" s="50"/>
      <c r="G35" s="57"/>
      <c r="H35" s="50"/>
      <c r="I35" s="58"/>
      <c r="J35" s="71"/>
      <c r="K35" s="74"/>
      <c r="L35" s="72"/>
      <c r="M35" s="61"/>
      <c r="N35" s="458"/>
      <c r="O35" s="202"/>
      <c r="P35" s="72"/>
      <c r="Q35" s="62"/>
      <c r="R35" s="55"/>
      <c r="S35" s="202"/>
      <c r="T35" s="202"/>
      <c r="U35" s="202"/>
      <c r="V35" s="202"/>
      <c r="W35" s="202"/>
      <c r="X35" s="202"/>
      <c r="Y35" s="55"/>
      <c r="Z35" s="63"/>
      <c r="AA35" s="55"/>
      <c r="AB35" s="529"/>
      <c r="AC35" s="46"/>
      <c r="AD35" s="46"/>
      <c r="AE35" s="46"/>
    </row>
    <row r="36" spans="2:31" ht="15.6" x14ac:dyDescent="0.3">
      <c r="B36" s="596"/>
      <c r="C36" s="73"/>
      <c r="D36" s="73"/>
      <c r="E36" s="57"/>
      <c r="F36" s="50"/>
      <c r="G36" s="57"/>
      <c r="H36" s="50"/>
      <c r="I36" s="58"/>
      <c r="J36" s="68"/>
      <c r="K36" s="74"/>
      <c r="L36" s="68"/>
      <c r="M36" s="61"/>
      <c r="N36" s="68"/>
      <c r="O36" s="202"/>
      <c r="P36" s="68"/>
      <c r="Q36" s="62"/>
      <c r="R36" s="55"/>
      <c r="S36" s="202"/>
      <c r="T36" s="202"/>
      <c r="U36" s="202"/>
      <c r="V36" s="202"/>
      <c r="W36" s="202"/>
      <c r="X36" s="202"/>
      <c r="Y36" s="55"/>
      <c r="Z36" s="63"/>
      <c r="AA36" s="55"/>
      <c r="AB36" s="529"/>
      <c r="AC36" s="46"/>
      <c r="AD36" s="46"/>
      <c r="AE36" s="46"/>
    </row>
    <row r="37" spans="2:31" ht="13.95" x14ac:dyDescent="0.3">
      <c r="C37" s="55"/>
      <c r="D37" s="55"/>
      <c r="E37" s="68"/>
      <c r="F37" s="68"/>
      <c r="G37" s="68"/>
      <c r="H37" s="55"/>
      <c r="I37" s="68"/>
      <c r="J37" s="68"/>
      <c r="K37" s="68"/>
      <c r="L37" s="68"/>
      <c r="M37" s="68"/>
      <c r="N37" s="68"/>
      <c r="O37" s="68"/>
      <c r="P37" s="68"/>
      <c r="Q37" s="68"/>
      <c r="R37" s="68"/>
      <c r="S37" s="68"/>
      <c r="T37" s="68"/>
      <c r="U37" s="68"/>
      <c r="V37" s="68"/>
      <c r="W37" s="68"/>
      <c r="X37" s="68"/>
      <c r="Y37" s="68"/>
      <c r="Z37" s="68"/>
      <c r="AA37" s="68"/>
      <c r="AB37" s="46"/>
      <c r="AC37" s="46"/>
      <c r="AD37" s="46"/>
      <c r="AE37" s="46"/>
    </row>
    <row r="41" spans="2:31" ht="13.95" x14ac:dyDescent="0.3">
      <c r="Q41" s="462" t="s">
        <v>318</v>
      </c>
    </row>
  </sheetData>
  <sheetProtection sheet="1" objects="1" scenarios="1" formatCells="0" formatColumns="0"/>
  <customSheetViews>
    <customSheetView guid="{D886BD10-986C-4491-A4B8-2CD64A5C3006}" scale="96" topLeftCell="D26">
      <pane ySplit="9.125" topLeftCell="A25"/>
      <selection activeCell="J31" sqref="J31"/>
      <pageMargins left="0.7" right="0.7" top="0.75" bottom="0.75" header="0.3" footer="0.3"/>
      <pageSetup paperSize="9" orientation="portrait" verticalDpi="0" r:id="rId1"/>
    </customSheetView>
  </customSheetViews>
  <mergeCells count="36">
    <mergeCell ref="AB22:AB23"/>
    <mergeCell ref="O13:V13"/>
    <mergeCell ref="N3:U3"/>
    <mergeCell ref="N9:U9"/>
    <mergeCell ref="N11:U11"/>
    <mergeCell ref="N5:U7"/>
    <mergeCell ref="Z22:Z23"/>
    <mergeCell ref="G22:G23"/>
    <mergeCell ref="B15:C15"/>
    <mergeCell ref="C25:D25"/>
    <mergeCell ref="B22:B36"/>
    <mergeCell ref="C22:D23"/>
    <mergeCell ref="E22:E23"/>
    <mergeCell ref="C27:D27"/>
    <mergeCell ref="C33:D33"/>
    <mergeCell ref="C29:D29"/>
    <mergeCell ref="C31:D31"/>
    <mergeCell ref="C26:D26"/>
    <mergeCell ref="I22:I23"/>
    <mergeCell ref="O22:O23"/>
    <mergeCell ref="U25:U33"/>
    <mergeCell ref="X25:X33"/>
    <mergeCell ref="S22:X22"/>
    <mergeCell ref="Q22:Q23"/>
    <mergeCell ref="K22:K23"/>
    <mergeCell ref="B2:E3"/>
    <mergeCell ref="B4:F5"/>
    <mergeCell ref="D7:F7"/>
    <mergeCell ref="D9:F9"/>
    <mergeCell ref="D11:F11"/>
    <mergeCell ref="D13:F13"/>
    <mergeCell ref="D15:F15"/>
    <mergeCell ref="B7:C7"/>
    <mergeCell ref="B9:C9"/>
    <mergeCell ref="B11:C11"/>
    <mergeCell ref="B13:C13"/>
  </mergeCells>
  <conditionalFormatting sqref="S25">
    <cfRule type="expression" dxfId="39" priority="41">
      <formula>(M25="NO")</formula>
    </cfRule>
  </conditionalFormatting>
  <conditionalFormatting sqref="U25:U26">
    <cfRule type="expression" dxfId="38" priority="63">
      <formula>(N34*T34=0)</formula>
    </cfRule>
  </conditionalFormatting>
  <conditionalFormatting sqref="X25:X26">
    <cfRule type="expression" dxfId="37" priority="65">
      <formula>W34=0</formula>
    </cfRule>
  </conditionalFormatting>
  <conditionalFormatting sqref="S29 S27 S31 S33">
    <cfRule type="expression" dxfId="36" priority="7">
      <formula>(M27="NO")</formula>
    </cfRule>
  </conditionalFormatting>
  <conditionalFormatting sqref="V33 V31 V29">
    <cfRule type="expression" dxfId="35" priority="6">
      <formula>(P29="NO")</formula>
    </cfRule>
  </conditionalFormatting>
  <dataValidations count="8">
    <dataValidation type="whole" allowBlank="1" showInputMessage="1" showErrorMessage="1" error="Introdueixi un any vàlid" prompt="Indiqui l'any al que fan referència els càlculs d'aquest full" sqref="D11:F11">
      <formula1>2020</formula1>
      <formula2>2030</formula2>
    </dataValidation>
    <dataValidation allowBlank="1" showInputMessage="1" showErrorMessage="1" prompt="Nom de l'explotació" sqref="D13"/>
    <dataValidation type="decimal" allowBlank="1" showInputMessage="1" showErrorMessage="1" promptTitle="Transició:" prompt="Introdueixi el valor de la casella I51 del Full 'Resultats' del càlcul del Balanç de N i P" sqref="G25">
      <formula1>1</formula1>
      <formula2>50</formula2>
    </dataValidation>
    <dataValidation allowBlank="1" showInputMessage="1" showErrorMessage="1" promptTitle="Engreix:" prompt="Introdueixi el valor de la casella I52 del Full 'Resultats' del càlcul del Balanç de N i P" sqref="G27"/>
    <dataValidation type="custom" allowBlank="1" showInputMessage="1" showErrorMessage="1" errorTitle="Indiqui la Marca Oficial" error="Indiqui la Marca Oficial. Format de 4 dígits + 2 lletres _x000a_Exemples: 1230AA, 4550BE_x000a_" promptTitle="Indiqui la Marca Oficial" prompt="Format de 4 dígits + 2 lletres. _x000a_Exemples: 1230AA, 4550BE" sqref="D7:F7">
      <formula1>LEN(D7)=6</formula1>
    </dataValidation>
    <dataValidation type="whole" allowBlank="1" showInputMessage="1" showErrorMessage="1" errorTitle="IDQA no vàlid" error="Identificador numèric assignat per la Direcció General de Qualitat Ambiental i Canvi Climàtic (Autorització Ambiental, inspeccions ambientals, etc)" prompt="Identificador numèric assignat per la Direcció General de Qualitat Ambiental i Canvi Climàtic (Autorització Ambiental, inspeccions ambientals, etc)" sqref="D9:F9">
      <formula1>1</formula1>
      <formula2>20000</formula2>
    </dataValidation>
    <dataValidation allowBlank="1" showInputMessage="1" showErrorMessage="1" prompt="Indiqui si a l'explotació es realitza algun dels tractaments disponibles._x000a_No afecta al càlcul de les emissions, la dada quedarà a títol informatiu." sqref="AB22:AB23"/>
    <dataValidation type="whole" showInputMessage="1" showErrorMessage="1" prompt="Introdueixi la dada de cens mitjà anual" sqref="E25 E27 E29 E31 E33">
      <formula1>0</formula1>
      <formula2>1000000</formula2>
    </dataValidation>
  </dataValidations>
  <pageMargins left="0.7" right="0.7" top="0.75" bottom="0.75" header="0.3" footer="0.3"/>
  <pageSetup paperSize="9" orientation="portrait" r:id="rId2"/>
  <ignoredErrors>
    <ignoredError sqref="E35" unlockedFormula="1"/>
  </ignoredErrors>
  <extLst>
    <ext xmlns:x14="http://schemas.microsoft.com/office/spreadsheetml/2009/9/main" uri="{78C0D931-6437-407d-A8EE-F0AAD7539E65}">
      <x14:conditionalFormattings>
        <x14:conditionalFormatting xmlns:xm="http://schemas.microsoft.com/office/excel/2006/main">
          <x14:cfRule type="expression" priority="80" id="{9C2486A2-7CBB-4B88-BC4F-21E451336A31}">
            <xm:f>(O31&lt;&gt;F.Emissió!S27)</xm:f>
            <x14:dxf>
              <font>
                <color theme="0"/>
              </font>
            </x14:dxf>
          </x14:cfRule>
          <xm:sqref>Q31</xm:sqref>
        </x14:conditionalFormatting>
        <x14:conditionalFormatting xmlns:xm="http://schemas.microsoft.com/office/excel/2006/main">
          <x14:cfRule type="expression" priority="81" id="{3C6F12EF-F6DD-40B6-BD68-EB06402CF647}">
            <xm:f>(O33&lt;&gt;F.Emissió!S27)</xm:f>
            <x14:dxf>
              <font>
                <color theme="0"/>
              </font>
            </x14:dxf>
          </x14:cfRule>
          <xm:sqref>Q33</xm:sqref>
        </x14:conditionalFormatting>
        <x14:conditionalFormatting xmlns:xm="http://schemas.microsoft.com/office/excel/2006/main">
          <x14:cfRule type="expression" priority="82" id="{9C2486A2-7CBB-4B88-BC4F-21E451336A31}">
            <xm:f>(O27&lt;&gt;F.Emissió!S27)</xm:f>
            <x14:dxf>
              <font>
                <color theme="0"/>
              </font>
            </x14:dxf>
          </x14:cfRule>
          <xm:sqref>Q27</xm:sqref>
        </x14:conditionalFormatting>
        <x14:conditionalFormatting xmlns:xm="http://schemas.microsoft.com/office/excel/2006/main">
          <x14:cfRule type="expression" priority="84" id="{9C2486A2-7CBB-4B88-BC4F-21E451336A31}">
            <xm:f>(O25&lt;&gt;F.Emissió!S27)</xm:f>
            <x14:dxf>
              <font>
                <color theme="0"/>
              </font>
            </x14:dxf>
          </x14:cfRule>
          <xm:sqref>Q25</xm:sqref>
        </x14:conditionalFormatting>
        <x14:conditionalFormatting xmlns:xm="http://schemas.microsoft.com/office/excel/2006/main">
          <x14:cfRule type="expression" priority="5" id="{6A9C83EB-4ABF-4ACE-91A3-75E146349DAA}">
            <xm:f>(O25&lt;&gt;'\44187752Z\Documents\anulats\[Calculadora Emissions MTD - PORCÍ v.1.2_TREBALL.xlsx]F.Emissió'!#REF!)</xm:f>
            <x14:dxf>
              <font>
                <color rgb="FFFFFFCC"/>
              </font>
              <fill>
                <patternFill>
                  <bgColor theme="0"/>
                </patternFill>
              </fill>
            </x14:dxf>
          </x14:cfRule>
          <xm:sqref>V25</xm:sqref>
        </x14:conditionalFormatting>
        <x14:conditionalFormatting xmlns:xm="http://schemas.microsoft.com/office/excel/2006/main">
          <x14:cfRule type="expression" priority="4" id="{12E75548-71B2-461C-97E4-248DDB80FA6B}">
            <xm:f>(O27&lt;&gt;'\44187752Z\Documents\anulats\[Calculadora Emissions MTD - PORCÍ v.1.2_TREBALL.xlsx]F.Emissió'!#REF!)</xm:f>
            <x14:dxf>
              <font>
                <color rgb="FFFFFFCC"/>
              </font>
              <fill>
                <patternFill>
                  <bgColor theme="0"/>
                </patternFill>
              </fill>
            </x14:dxf>
          </x14:cfRule>
          <xm:sqref>V27</xm:sqref>
        </x14:conditionalFormatting>
        <x14:conditionalFormatting xmlns:xm="http://schemas.microsoft.com/office/excel/2006/main">
          <x14:cfRule type="expression" priority="1" id="{133E34B2-B892-43BA-9EF1-7B5C60E19490}">
            <xm:f>(O29&lt;&gt;F.Emissió!S27)</xm:f>
            <x14:dxf>
              <font>
                <color theme="0"/>
              </font>
            </x14:dxf>
          </x14:cfRule>
          <xm:sqref>Q29</xm:sqref>
        </x14:conditionalFormatting>
      </x14:conditionalFormattings>
    </ext>
    <ext xmlns:x14="http://schemas.microsoft.com/office/spreadsheetml/2009/9/main" uri="{CCE6A557-97BC-4b89-ADB6-D9C93CAAB3DF}">
      <x14:dataValidations xmlns:xm="http://schemas.microsoft.com/office/excel/2006/main" count="35">
        <x14:dataValidation type="list" allowBlank="1" showInputMessage="1" showErrorMessage="1">
          <x14:formula1>
            <xm:f>'C:\JAVIER\Gestion ambiental en Ganaderia\MTD\Calculo N\[EMISIONES EN GRANJA_CARATULA_J.xlsm]Resultados'!#REF!</xm:f>
          </x14:formula1>
          <xm:sqref>K28 K26 K32 K30 K34</xm:sqref>
        </x14:dataValidation>
        <x14:dataValidation type="list" allowBlank="1" showInputMessage="1" showErrorMessage="1" prompt="Marcar si es fa o no la Separació sòlid-líquid de dejeccions">
          <x14:formula1>
            <xm:f>F.Distribució!$K$2:$K$3</xm:f>
          </x14:formula1>
          <xm:sqref>M33 M31 M29</xm:sqref>
        </x14:dataValidation>
        <x14:dataValidation type="list" allowBlank="1" showInputMessage="1" showErrorMessage="1" prompt="Técnica emprada a l'Aplicació de purins al camp">
          <x14:formula1>
            <xm:f>F.Emissió!$Y$23:$Y$29</xm:f>
          </x14:formula1>
          <xm:sqref>Z25 Z31 Z27 Z29 Z33</xm:sqref>
        </x14:dataValidation>
        <x14:dataValidation type="list" allowBlank="1" showInputMessage="1" showErrorMessage="1" prompt="Marcar si es fa o no la Separació sòlid-líquid de dejeccions">
          <x14:formula1>
            <xm:f>IF($I25=F.Emissió!$K$34,F.Distribució!$K$2,F.Distribució!$K$2:$K$3)</xm:f>
          </x14:formula1>
          <xm:sqref>M25</xm:sqref>
        </x14:dataValidation>
        <x14:dataValidation type="list" allowBlank="1" showInputMessage="1" showErrorMessage="1" prompt="Marcar si es fa o no la Separació sòlid-líquid de dejeccions">
          <x14:formula1>
            <xm:f>IF($I27=$K$34,F.Distribució!$K$2,F.Distribució!$K$2:$K$3)</xm:f>
          </x14:formula1>
          <xm:sqref>M27</xm:sqref>
        </x14:dataValidation>
        <x14:dataValidation type="list" allowBlank="1" showInputMessage="1" showErrorMessage="1" prompt="Técnica emprada a l'Allotjament d'animals">
          <x14:formula1>
            <xm:f>F.Emissió!$K$62:$K$77</xm:f>
          </x14:formula1>
          <xm:sqref>I25</xm:sqref>
        </x14:dataValidation>
        <x14:dataValidation type="list" allowBlank="1" showInputMessage="1" showErrorMessage="1" prompt="Técnica emprada a l'Allotjament d'animals">
          <x14:formula1>
            <xm:f>F.Emissió!$K$22:$K$36</xm:f>
          </x14:formula1>
          <xm:sqref>I27 I31 I29 I33</xm:sqref>
        </x14:dataValidation>
        <x14:dataValidation type="list" allowBlank="1" showInputMessage="1" showErrorMessage="1" prompt="Destinació dels purins">
          <x14:formula1>
            <xm:f>F.Emissió!$S$27:$S$28</xm:f>
          </x14:formula1>
          <xm:sqref>O31</xm:sqref>
        </x14:dataValidation>
        <x14:dataValidation type="list" allowBlank="1" showInputMessage="1" showErrorMessage="1" prompt="Destinació dels purins">
          <x14:formula1>
            <xm:f>F.Emissió!$S$27:$S$28</xm:f>
          </x14:formula1>
          <xm:sqref>O33</xm:sqref>
        </x14:dataValidation>
        <x14:dataValidation type="list" allowBlank="1" showInputMessage="1" showErrorMessage="1" prompt="Destinació dels purins">
          <x14:formula1>
            <xm:f>F.Emissió!$S$27:$S$28</xm:f>
          </x14:formula1>
          <xm:sqref>O29</xm:sqref>
        </x14:dataValidation>
        <x14:dataValidation type="list" allowBlank="1" showInputMessage="1" showErrorMessage="1" prompt="Destinació dels purins">
          <x14:formula1>
            <xm:f>F.Emissió!$S$27:$S$28</xm:f>
          </x14:formula1>
          <xm:sqref>O25</xm:sqref>
        </x14:dataValidation>
        <x14:dataValidation type="list" allowBlank="1" showInputMessage="1" showErrorMessage="1" prompt="Destinació dels purins">
          <x14:formula1>
            <xm:f>F.Emissió!$S$27:$S$28</xm:f>
          </x14:formula1>
          <xm:sqref>O27</xm:sqref>
        </x14:dataValidation>
        <x14:dataValidation type="list" showInputMessage="1" showErrorMessage="1" prompt="Destinació dels purins després de l'emmagatzematge">
          <x14:formula1>
            <xm:f>IF($M29="SÍ",F.Emissió!$S$28:$S$29,$Q$41)</xm:f>
          </x14:formula1>
          <xm:sqref>S29</xm:sqref>
        </x14:dataValidation>
        <x14:dataValidation type="list" showInputMessage="1" showErrorMessage="1" prompt="Destinació dels purins després de l'emmagatzematge">
          <x14:formula1>
            <xm:f>IF($M27="SÍ",F.Emissió!$S$28:$S$29,$Q$41)</xm:f>
          </x14:formula1>
          <xm:sqref>S27 S31 S33</xm:sqref>
        </x14:dataValidation>
        <x14:dataValidation type="list" showInputMessage="1" showErrorMessage="1" prompt="Destinació dels purins després de l'emmagatzematge">
          <x14:formula1>
            <xm:f>IF($M25="SÍ",F.Emissió!$S$28:$S$29,$Q$41)</xm:f>
          </x14:formula1>
          <xm:sqref>S25</xm:sqref>
        </x14:dataValidation>
        <x14:dataValidation type="list" allowBlank="1" showInputMessage="1" showErrorMessage="1" prompt="Indiqui el % aproximat de sòlids destinats a gestors autoritzats o usos no agraris">
          <x14:formula1>
            <xm:f>IF(T52&gt;0,F.Emissió!$AD$22:$AD$31,F.Emissió!$S$30)</xm:f>
          </x14:formula1>
          <xm:sqref>U33</xm:sqref>
        </x14:dataValidation>
        <x14:dataValidation type="list" allowBlank="1" showInputMessage="1" showErrorMessage="1" prompt="Indiqui el % aproximat de sòlids destinats a gestors autoritzats o usos no agraris">
          <x14:formula1>
            <xm:f>IF(T46&gt;0,F.Emissió!$AD$22:$AD$31,F.Emissió!$S$30)</xm:f>
          </x14:formula1>
          <xm:sqref>U29:U32</xm:sqref>
        </x14:dataValidation>
        <x14:dataValidation type="list" allowBlank="1" showInputMessage="1" showErrorMessage="1" prompt="Esculli un % aproximat de líquids (purins) destinats a gestors autoritzats o usos no agraris">
          <x14:formula1>
            <xm:f>IF($W$34&gt;0,F.Emissió!$AD$22:$AD$31,F.Emissió!$S$30)</xm:f>
          </x14:formula1>
          <xm:sqref>X25:X33</xm:sqref>
        </x14:dataValidation>
        <x14:dataValidation type="list" allowBlank="1" showInputMessage="1" showErrorMessage="1" prompt="Indiqui el % aproximat de sòlids destinats a gestors autoritzats o usos no agraris">
          <x14:formula1>
            <xm:f>IF(T34&gt;0,F.Emissió!$AD$22:$AD$31,F.Emissió!$S$30)</xm:f>
          </x14:formula1>
          <xm:sqref>U25:U26</xm:sqref>
        </x14:dataValidation>
        <x14:dataValidation type="list" allowBlank="1" showInputMessage="1" showErrorMessage="1" prompt="Indiqui el % aproximat de sòlids destinats a gestors autoritzats o usos no agraris">
          <x14:formula1>
            <xm:f>IF(T40&gt;0,F.Emissió!$AD$22:$AD$31,F.Emissió!$S$30)</xm:f>
          </x14:formula1>
          <xm:sqref>U27:U28</xm:sqref>
        </x14:dataValidation>
        <x14:dataValidation type="list" allowBlank="1" showInputMessage="1" showErrorMessage="1" prompt="Indiqui si a l'explotació es realitza algun dels tractaments disponibles._x000a_No afecta al càlcul de les emissions, la dada resta a títol informatiu.">
          <x14:formula1>
            <xm:f>F.Emissió!$Y$36:$Y$40</xm:f>
          </x14:formula1>
          <xm:sqref>AB25 AB27 AB29 AB31 AB33</xm:sqref>
        </x14:dataValidation>
        <x14:dataValidation type="list" allowBlank="1" showInputMessage="1" showErrorMessage="1" prompt="Técnica emprada a l'Emmagatzematge dels purins">
          <x14:formula1>
            <xm:f>IF($O27=F.Emissió!$S$27,F.Emissió!$S$36:$S$45,$Q$41)</xm:f>
          </x14:formula1>
          <xm:sqref>Q27 Q29</xm:sqref>
        </x14:dataValidation>
        <x14:dataValidation type="list" allowBlank="1" showInputMessage="1" showErrorMessage="1" prompt="Tècnica emprada a l'evacuació de purins">
          <x14:formula1>
            <xm:f>F.Emissió!S$20:S$24</xm:f>
          </x14:formula1>
          <xm:sqref>K25</xm:sqref>
        </x14:dataValidation>
        <x14:dataValidation type="list" allowBlank="1" showInputMessage="1" showErrorMessage="1" prompt="Tècnica emprada a l'evacuació de purins">
          <x14:formula1>
            <xm:f>F.Emissió!S$20:S$24</xm:f>
          </x14:formula1>
          <xm:sqref>K27</xm:sqref>
        </x14:dataValidation>
        <x14:dataValidation type="list" allowBlank="1" showInputMessage="1" showErrorMessage="1" prompt="Tècnica emprada a l'evacuació de purins">
          <x14:formula1>
            <xm:f>F.Emissió!S$20:S$24</xm:f>
          </x14:formula1>
          <xm:sqref>K29</xm:sqref>
        </x14:dataValidation>
        <x14:dataValidation type="list" allowBlank="1" showInputMessage="1" showErrorMessage="1" prompt="Tècnica emprada a l'evacuació de purins">
          <x14:formula1>
            <xm:f>F.Emissió!S$20:S$24</xm:f>
          </x14:formula1>
          <xm:sqref>K31</xm:sqref>
        </x14:dataValidation>
        <x14:dataValidation type="list" allowBlank="1" showInputMessage="1" showErrorMessage="1" prompt="Tècnica emprada a l'evacuació de purins">
          <x14:formula1>
            <xm:f>F.Emissió!S$20:S$24</xm:f>
          </x14:formula1>
          <xm:sqref>K33</xm:sqref>
        </x14:dataValidation>
        <x14:dataValidation type="list" allowBlank="1" showInputMessage="1" showErrorMessage="1" prompt="Técnica emprada a l'Emmagatzematge dels purins">
          <x14:formula1>
            <xm:f>IF($O33=F.Emissió!S27,F.Emissió!$S$36:$S$45,$Q$41)</xm:f>
          </x14:formula1>
          <xm:sqref>Q33</xm:sqref>
        </x14:dataValidation>
        <x14:dataValidation type="list" allowBlank="1" showInputMessage="1" showErrorMessage="1" prompt="Técnica emprada a l'Emmagatzematge dels purins">
          <x14:formula1>
            <xm:f>IF($O31=F.Emissió!S27,F.Emissió!$S$36:$S$45,$Q$41)</xm:f>
          </x14:formula1>
          <xm:sqref>Q31</xm:sqref>
        </x14:dataValidation>
        <x14:dataValidation type="list" allowBlank="1" showInputMessage="1" showErrorMessage="1" prompt="Técnica emprada a l'Emmagatzematge dels purins">
          <x14:formula1>
            <xm:f>IF($O25=F.Emissió!S27,F.Emissió!$S$36:$S$45,$Q$41)</xm:f>
          </x14:formula1>
          <xm:sqref>Q25</xm:sqref>
        </x14:dataValidation>
        <x14:dataValidation type="list" showInputMessage="1" showErrorMessage="1" prompt="Destinació dels purins després de l'emmagatzematge">
          <x14:formula1>
            <xm:f>IF($O25=F.Emissió!S27,F.Emissió!$S$28:$S$29,$Q$41)</xm:f>
          </x14:formula1>
          <xm:sqref>V25</xm:sqref>
        </x14:dataValidation>
        <x14:dataValidation type="list" showInputMessage="1" showErrorMessage="1" prompt="Destinació dels purins després de l'emmagatzematge">
          <x14:formula1>
            <xm:f>IF($O27=F.Emissió!S27,F.Emissió!$S$28:$S$29,$Q$41)</xm:f>
          </x14:formula1>
          <xm:sqref>V27</xm:sqref>
        </x14:dataValidation>
        <x14:dataValidation type="list" showInputMessage="1" showErrorMessage="1" prompt="Destinació dels purins després de l'emmagatzematge">
          <x14:formula1>
            <xm:f>IF($O29=F.Emissió!S27,F.Emissió!$S$28:$S$29,$Q$41)</xm:f>
          </x14:formula1>
          <xm:sqref>V29</xm:sqref>
        </x14:dataValidation>
        <x14:dataValidation type="list" showInputMessage="1" showErrorMessage="1" prompt="Destinació dels purins després de l'emmagatzematge">
          <x14:formula1>
            <xm:f>IF($O31=F.Emissió!S27,F.Emissió!$S$28:$S$29,$Q$41)</xm:f>
          </x14:formula1>
          <xm:sqref>V31</xm:sqref>
        </x14:dataValidation>
        <x14:dataValidation type="list" showInputMessage="1" showErrorMessage="1" prompt="Destinació dels purins després de l'emmagatzematge">
          <x14:formula1>
            <xm:f>IF($O33=F.Emissió!S27,F.Emissió!$S$28:$S$29,$Q$41)</xm:f>
          </x14:formula1>
          <xm:sqref>V33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ll2">
    <tabColor theme="8" tint="0.39997558519241921"/>
  </sheetPr>
  <dimension ref="A1:O48"/>
  <sheetViews>
    <sheetView zoomScale="70" zoomScaleNormal="70" workbookViewId="0">
      <pane xSplit="1" ySplit="8" topLeftCell="B9" activePane="bottomRight" state="frozen"/>
      <selection pane="topRight" activeCell="B1" sqref="B1"/>
      <selection pane="bottomLeft" activeCell="A9" sqref="A9"/>
      <selection pane="bottomRight" activeCell="C4" sqref="C4:D4"/>
    </sheetView>
  </sheetViews>
  <sheetFormatPr defaultRowHeight="14.4" x14ac:dyDescent="0.3"/>
  <cols>
    <col min="1" max="1" width="10" customWidth="1"/>
    <col min="2" max="2" width="15" customWidth="1"/>
    <col min="3" max="3" width="18.21875" customWidth="1"/>
    <col min="4" max="4" width="14.88671875" customWidth="1"/>
    <col min="5" max="5" width="15.6640625" customWidth="1"/>
    <col min="6" max="6" width="11.88671875" customWidth="1"/>
    <col min="7" max="7" width="12.6640625" customWidth="1"/>
    <col min="8" max="8" width="12.21875" customWidth="1"/>
    <col min="9" max="9" width="3.77734375" customWidth="1"/>
    <col min="10" max="11" width="8.88671875" style="451"/>
    <col min="12" max="12" width="23" style="451" customWidth="1"/>
    <col min="13" max="14" width="8.88671875" style="451"/>
  </cols>
  <sheetData>
    <row r="1" spans="1:14" ht="6" customHeight="1" x14ac:dyDescent="0.3">
      <c r="A1" s="324"/>
      <c r="B1" s="324"/>
      <c r="C1" s="324"/>
      <c r="D1" s="324"/>
      <c r="E1" s="324"/>
      <c r="F1" s="324"/>
      <c r="G1" s="324"/>
      <c r="H1" s="324"/>
      <c r="I1" s="324"/>
    </row>
    <row r="2" spans="1:14" ht="27.6" x14ac:dyDescent="0.65">
      <c r="A2" s="324"/>
      <c r="B2" s="353" t="s">
        <v>292</v>
      </c>
      <c r="C2" s="354"/>
      <c r="D2" s="354"/>
      <c r="E2" s="355"/>
      <c r="F2" s="355"/>
      <c r="G2" s="324"/>
      <c r="H2" s="324"/>
      <c r="I2" s="324"/>
    </row>
    <row r="3" spans="1:14" ht="9.6" customHeight="1" x14ac:dyDescent="0.3">
      <c r="A3" s="324"/>
      <c r="B3" s="324"/>
      <c r="C3" s="324"/>
      <c r="D3" s="324"/>
      <c r="E3" s="324"/>
      <c r="F3" s="324"/>
      <c r="G3" s="324"/>
      <c r="H3" s="324"/>
      <c r="I3" s="324"/>
    </row>
    <row r="4" spans="1:14" x14ac:dyDescent="0.3">
      <c r="A4" s="324"/>
      <c r="B4" s="286" t="s">
        <v>262</v>
      </c>
      <c r="C4" s="612">
        <f>Dades!D7</f>
        <v>0</v>
      </c>
      <c r="D4" s="613"/>
      <c r="E4" s="324" t="str">
        <f>IF(OR(C4=0,C4="0000AA"),"ERROR: Indiqui la Marca Oficial al Full d'entrada de Dades","")</f>
        <v>ERROR: Indiqui la Marca Oficial al Full d'entrada de Dades</v>
      </c>
      <c r="F4" s="324"/>
      <c r="G4" s="324"/>
      <c r="H4" s="324"/>
      <c r="I4" s="324"/>
      <c r="K4" s="452" t="s">
        <v>323</v>
      </c>
      <c r="L4" s="452"/>
      <c r="M4" s="452"/>
    </row>
    <row r="5" spans="1:14" x14ac:dyDescent="0.3">
      <c r="A5" s="324"/>
      <c r="B5" s="286" t="s">
        <v>285</v>
      </c>
      <c r="C5" s="612">
        <f>Dades!D9</f>
        <v>0</v>
      </c>
      <c r="D5" s="613"/>
      <c r="E5" s="324" t="str">
        <f>IF(C5=0,"ERROR: Indiqui l'identificador IDQA al Full d'entrada de Dades","")</f>
        <v>ERROR: Indiqui l'identificador IDQA al Full d'entrada de Dades</v>
      </c>
      <c r="F5" s="324"/>
      <c r="G5" s="324"/>
      <c r="H5" s="324"/>
      <c r="I5" s="324"/>
      <c r="K5" s="453" t="s">
        <v>324</v>
      </c>
      <c r="L5" s="452" t="s">
        <v>25</v>
      </c>
      <c r="M5" s="452"/>
    </row>
    <row r="6" spans="1:14" x14ac:dyDescent="0.3">
      <c r="A6" s="324"/>
      <c r="B6" s="286" t="s">
        <v>280</v>
      </c>
      <c r="C6" s="612">
        <f>Dades!D11</f>
        <v>2022</v>
      </c>
      <c r="D6" s="613"/>
      <c r="E6" s="324" t="str">
        <f>IF(C6=0,"ERROR: Indiqui l'any al que fan referència les dades","")</f>
        <v/>
      </c>
      <c r="F6" s="324"/>
      <c r="G6" s="324"/>
      <c r="H6" s="324"/>
      <c r="I6" s="324"/>
      <c r="K6" s="453" t="s">
        <v>324</v>
      </c>
      <c r="L6" s="452" t="s">
        <v>125</v>
      </c>
      <c r="M6" s="452"/>
    </row>
    <row r="7" spans="1:14" x14ac:dyDescent="0.3">
      <c r="A7" s="324"/>
      <c r="B7" s="286" t="s">
        <v>281</v>
      </c>
      <c r="C7" s="612">
        <f>Dades!D13</f>
        <v>0</v>
      </c>
      <c r="D7" s="613"/>
      <c r="E7" s="324" t="str">
        <f>IF(C7=0,"ERROR: Indiqui el nom de l'explotació al Full 'Entr.Dades'","")</f>
        <v>ERROR: Indiqui el nom de l'explotació al Full 'Entr.Dades'</v>
      </c>
      <c r="F7" s="324"/>
      <c r="G7" s="324"/>
      <c r="H7" s="324"/>
      <c r="I7" s="324"/>
      <c r="K7" s="453" t="s">
        <v>324</v>
      </c>
      <c r="L7" s="452" t="s">
        <v>66</v>
      </c>
      <c r="M7" s="452"/>
    </row>
    <row r="8" spans="1:14" x14ac:dyDescent="0.3">
      <c r="A8" s="324"/>
      <c r="B8" s="286" t="s">
        <v>282</v>
      </c>
      <c r="C8" s="612">
        <f>Dades!D15</f>
        <v>0</v>
      </c>
      <c r="D8" s="613"/>
      <c r="E8" s="324" t="str">
        <f>IF(C8=0,"ERROR: Indiqui el nom del titular al Full 'Entr.Dades'","")</f>
        <v>ERROR: Indiqui el nom del titular al Full 'Entr.Dades'</v>
      </c>
      <c r="F8" s="324"/>
      <c r="G8" s="324"/>
      <c r="H8" s="324"/>
      <c r="I8" s="324"/>
      <c r="K8" s="454">
        <f>Càlculs!AE7</f>
        <v>0</v>
      </c>
      <c r="L8" s="452" t="s">
        <v>67</v>
      </c>
      <c r="M8" s="452" t="s">
        <v>325</v>
      </c>
    </row>
    <row r="9" spans="1:14" s="268" customFormat="1" ht="21.45" customHeight="1" x14ac:dyDescent="0.3">
      <c r="A9" s="295"/>
      <c r="B9" s="295"/>
      <c r="C9" s="295"/>
      <c r="D9" s="295"/>
      <c r="E9" s="295"/>
      <c r="F9" s="295"/>
      <c r="G9" s="295"/>
      <c r="H9" s="295"/>
      <c r="I9" s="295"/>
      <c r="J9" s="455"/>
      <c r="K9" s="456">
        <f>Càlculs!BA7</f>
        <v>0</v>
      </c>
      <c r="L9" s="457" t="s">
        <v>322</v>
      </c>
      <c r="M9" s="457"/>
      <c r="N9" s="455"/>
    </row>
    <row r="10" spans="1:14" ht="15.6" x14ac:dyDescent="0.3">
      <c r="A10" s="325" t="s">
        <v>258</v>
      </c>
      <c r="B10" s="325" t="s">
        <v>260</v>
      </c>
      <c r="C10" s="326"/>
      <c r="D10" s="326"/>
      <c r="E10" s="324"/>
      <c r="F10" s="324"/>
      <c r="G10" s="324"/>
      <c r="H10" s="324"/>
      <c r="I10" s="324"/>
      <c r="K10" s="454">
        <f>Càlculs!BK7</f>
        <v>0</v>
      </c>
      <c r="L10" s="457" t="s">
        <v>88</v>
      </c>
      <c r="M10" s="452"/>
    </row>
    <row r="11" spans="1:14" ht="31.95" customHeight="1" x14ac:dyDescent="0.3">
      <c r="A11" s="325"/>
      <c r="B11" s="611" t="s">
        <v>311</v>
      </c>
      <c r="C11" s="611"/>
      <c r="D11" s="611"/>
      <c r="E11" s="611"/>
      <c r="F11" s="611"/>
      <c r="G11" s="611"/>
      <c r="H11" s="324"/>
      <c r="I11" s="324"/>
      <c r="K11" s="454">
        <f>Càlculs!BX7</f>
        <v>0</v>
      </c>
      <c r="L11" s="457" t="s">
        <v>91</v>
      </c>
      <c r="M11" s="452"/>
    </row>
    <row r="12" spans="1:14" x14ac:dyDescent="0.3">
      <c r="A12" s="324"/>
      <c r="B12" s="324"/>
      <c r="C12" s="324"/>
      <c r="D12" s="324"/>
      <c r="E12" s="324"/>
      <c r="F12" s="324"/>
      <c r="G12" s="324"/>
      <c r="H12" s="324"/>
      <c r="I12" s="324"/>
      <c r="K12" s="454">
        <f>Càlculs!CC7</f>
        <v>0</v>
      </c>
      <c r="L12" s="457" t="s">
        <v>94</v>
      </c>
      <c r="M12" s="452"/>
    </row>
    <row r="13" spans="1:14" ht="46.8" x14ac:dyDescent="0.3">
      <c r="A13" s="324"/>
      <c r="B13" s="315" t="s">
        <v>286</v>
      </c>
      <c r="C13" s="316" t="s">
        <v>287</v>
      </c>
      <c r="D13" s="317" t="s">
        <v>288</v>
      </c>
      <c r="E13" s="271"/>
      <c r="F13" s="274"/>
      <c r="G13" s="324"/>
      <c r="H13" s="324"/>
      <c r="I13" s="324"/>
    </row>
    <row r="14" spans="1:14" x14ac:dyDescent="0.3">
      <c r="A14" s="324"/>
      <c r="B14" s="541">
        <f>Càlculs!CO47</f>
        <v>0</v>
      </c>
      <c r="C14" s="542">
        <f>Càlculs!CO18</f>
        <v>0</v>
      </c>
      <c r="D14" s="543">
        <f>B14-C14</f>
        <v>0</v>
      </c>
      <c r="E14" s="272" t="s">
        <v>290</v>
      </c>
      <c r="F14" s="276"/>
      <c r="G14" s="324"/>
      <c r="H14" s="324"/>
      <c r="I14" s="324"/>
    </row>
    <row r="15" spans="1:14" s="268" customFormat="1" ht="21.45" customHeight="1" x14ac:dyDescent="0.3">
      <c r="A15" s="295"/>
      <c r="B15" s="295"/>
      <c r="C15" s="295"/>
      <c r="D15" s="295"/>
      <c r="E15" s="295"/>
      <c r="F15" s="295"/>
      <c r="G15" s="295"/>
      <c r="H15" s="295"/>
      <c r="I15" s="295"/>
      <c r="J15" s="455"/>
      <c r="K15" s="455"/>
      <c r="L15" s="455"/>
      <c r="M15" s="455"/>
      <c r="N15" s="455"/>
    </row>
    <row r="16" spans="1:14" ht="15.6" x14ac:dyDescent="0.3">
      <c r="A16" s="325" t="s">
        <v>263</v>
      </c>
      <c r="B16" s="325" t="s">
        <v>264</v>
      </c>
      <c r="C16" s="325"/>
      <c r="D16" s="325"/>
      <c r="E16" s="324"/>
      <c r="F16" s="324"/>
      <c r="G16" s="324"/>
      <c r="H16" s="324"/>
      <c r="I16" s="324"/>
    </row>
    <row r="17" spans="1:15" ht="30.15" customHeight="1" x14ac:dyDescent="0.3">
      <c r="A17" s="325"/>
      <c r="B17" s="611" t="s">
        <v>289</v>
      </c>
      <c r="C17" s="611"/>
      <c r="D17" s="611"/>
      <c r="E17" s="611"/>
      <c r="F17" s="611"/>
      <c r="G17" s="611"/>
      <c r="H17" s="324"/>
      <c r="I17" s="324"/>
    </row>
    <row r="18" spans="1:15" ht="39" x14ac:dyDescent="0.3">
      <c r="A18" s="324"/>
      <c r="B18" s="553"/>
      <c r="C18" s="554" t="s">
        <v>457</v>
      </c>
      <c r="D18" s="569" t="s">
        <v>458</v>
      </c>
      <c r="E18" s="555" t="s">
        <v>261</v>
      </c>
      <c r="F18" s="556" t="s">
        <v>259</v>
      </c>
      <c r="G18" s="557"/>
      <c r="H18" s="558"/>
      <c r="I18" s="324"/>
      <c r="O18" s="451"/>
    </row>
    <row r="19" spans="1:15" x14ac:dyDescent="0.3">
      <c r="A19" s="324"/>
      <c r="B19" s="559" t="s">
        <v>320</v>
      </c>
      <c r="C19" s="560">
        <f>(Càlculs!AD4+Càlculs!AE4)*(17/14)</f>
        <v>0</v>
      </c>
      <c r="D19" s="560">
        <f>(Càlculs!BA4+Càlculs!BK4)*17/14</f>
        <v>0</v>
      </c>
      <c r="E19" s="560">
        <f>(Càlculs!BX4+Càlculs!CC4)*17/14</f>
        <v>0</v>
      </c>
      <c r="F19" s="560">
        <f>SUM(C19:E19)</f>
        <v>0</v>
      </c>
      <c r="G19" s="561"/>
      <c r="H19" s="562"/>
      <c r="I19" s="324"/>
      <c r="O19" s="451"/>
    </row>
    <row r="20" spans="1:15" ht="13.95" x14ac:dyDescent="0.3">
      <c r="A20" s="324"/>
      <c r="B20" s="559" t="s">
        <v>321</v>
      </c>
      <c r="C20" s="560">
        <f>(Càlculs!AD7+Càlculs!AE7)*(17/14)</f>
        <v>0</v>
      </c>
      <c r="D20" s="560">
        <f>(Càlculs!BA7+Càlculs!BK7)*17/14</f>
        <v>0</v>
      </c>
      <c r="E20" s="560">
        <f>(Càlculs!BX7+Càlculs!CC7)*17/14</f>
        <v>0</v>
      </c>
      <c r="F20" s="560">
        <f>SUM(C20:E20)</f>
        <v>0</v>
      </c>
      <c r="G20" s="561"/>
      <c r="H20" s="562"/>
      <c r="I20" s="324"/>
      <c r="O20" s="451"/>
    </row>
    <row r="21" spans="1:15" ht="13.95" x14ac:dyDescent="0.3">
      <c r="A21" s="324"/>
      <c r="B21" s="559" t="s">
        <v>217</v>
      </c>
      <c r="C21" s="560">
        <f>(Càlculs!AD10+Càlculs!AE10)*(17/14)</f>
        <v>0</v>
      </c>
      <c r="D21" s="560">
        <f>(Càlculs!BA10+Càlculs!BK10)*17/14</f>
        <v>0</v>
      </c>
      <c r="E21" s="560">
        <f>(Càlculs!BX10+Càlculs!CC10)*17/14</f>
        <v>0</v>
      </c>
      <c r="F21" s="560">
        <f>SUM(C21:E21)</f>
        <v>0</v>
      </c>
      <c r="G21" s="561"/>
      <c r="H21" s="562"/>
      <c r="I21" s="324"/>
      <c r="O21" s="451"/>
    </row>
    <row r="22" spans="1:15" x14ac:dyDescent="0.3">
      <c r="A22" s="324"/>
      <c r="B22" s="559" t="s">
        <v>314</v>
      </c>
      <c r="C22" s="560">
        <f>(Càlculs!AD11+Càlculs!AE11)*(17/14)</f>
        <v>0</v>
      </c>
      <c r="D22" s="560">
        <f>(Càlculs!BA11+Càlculs!BK11)*17/14</f>
        <v>0</v>
      </c>
      <c r="E22" s="560">
        <f>(Càlculs!BX11+Càlculs!CC11)*17/14</f>
        <v>0</v>
      </c>
      <c r="F22" s="560">
        <f t="shared" ref="F22:F23" si="0">SUM(C22:E22)</f>
        <v>0</v>
      </c>
      <c r="G22" s="561"/>
      <c r="H22" s="562"/>
      <c r="I22" s="324"/>
      <c r="O22" s="451"/>
    </row>
    <row r="23" spans="1:15" ht="13.95" x14ac:dyDescent="0.3">
      <c r="A23" s="324"/>
      <c r="B23" s="559" t="s">
        <v>455</v>
      </c>
      <c r="C23" s="560">
        <f>(Càlculs!AD13+Càlculs!AE13)*(17/14)</f>
        <v>0</v>
      </c>
      <c r="D23" s="560">
        <f>(Càlculs!BA13+Càlculs!BK13)*17/14</f>
        <v>0</v>
      </c>
      <c r="E23" s="560">
        <f>(Càlculs!BX13+Càlculs!CC13)*17/14</f>
        <v>0</v>
      </c>
      <c r="F23" s="560">
        <f t="shared" si="0"/>
        <v>0</v>
      </c>
      <c r="G23" s="561"/>
      <c r="H23" s="562"/>
      <c r="I23" s="324"/>
      <c r="O23" s="451"/>
    </row>
    <row r="24" spans="1:15" x14ac:dyDescent="0.3">
      <c r="A24" s="324"/>
      <c r="B24" s="563" t="s">
        <v>339</v>
      </c>
      <c r="C24" s="564">
        <f>(Càlculs!AD18+Càlculs!AE18)*(17/14)</f>
        <v>0</v>
      </c>
      <c r="D24" s="565">
        <f>(Càlculs!BA18+Càlculs!BK18)*17/14</f>
        <v>0</v>
      </c>
      <c r="E24" s="565">
        <f>(Càlculs!BX18+Càlculs!CC18)*17/14</f>
        <v>0</v>
      </c>
      <c r="F24" s="566">
        <f>SUM(C24:E24)</f>
        <v>0</v>
      </c>
      <c r="G24" s="567" t="s">
        <v>265</v>
      </c>
      <c r="H24" s="568"/>
      <c r="I24" s="324"/>
      <c r="O24" s="451"/>
    </row>
    <row r="25" spans="1:15" x14ac:dyDescent="0.3">
      <c r="A25" s="324"/>
      <c r="B25" s="324" t="s">
        <v>456</v>
      </c>
      <c r="C25" s="324"/>
      <c r="D25" s="324"/>
      <c r="E25" s="324"/>
      <c r="F25" s="324"/>
      <c r="G25" s="324"/>
      <c r="H25" s="324"/>
      <c r="I25" s="324"/>
      <c r="O25" s="451"/>
    </row>
    <row r="26" spans="1:15" s="268" customFormat="1" ht="21.45" customHeight="1" x14ac:dyDescent="0.3">
      <c r="A26" s="295"/>
      <c r="B26" s="295"/>
      <c r="C26" s="295"/>
      <c r="D26" s="295"/>
      <c r="E26" s="295"/>
      <c r="F26" s="295"/>
      <c r="G26" s="295"/>
      <c r="H26" s="295"/>
      <c r="I26" s="295"/>
      <c r="J26" s="455"/>
      <c r="K26" s="455"/>
      <c r="L26" s="455"/>
      <c r="M26" s="455"/>
      <c r="N26" s="455"/>
    </row>
    <row r="27" spans="1:15" ht="15.6" x14ac:dyDescent="0.3">
      <c r="A27" s="325" t="s">
        <v>319</v>
      </c>
      <c r="B27" s="325" t="s">
        <v>269</v>
      </c>
      <c r="C27" s="325"/>
      <c r="D27" s="325"/>
      <c r="E27" s="324"/>
      <c r="F27" s="324"/>
      <c r="G27" s="324"/>
      <c r="H27" s="324"/>
      <c r="I27" s="324"/>
    </row>
    <row r="28" spans="1:15" ht="33.75" customHeight="1" thickBot="1" x14ac:dyDescent="0.35">
      <c r="A28" s="325"/>
      <c r="B28" s="611" t="s">
        <v>397</v>
      </c>
      <c r="C28" s="611"/>
      <c r="D28" s="611"/>
      <c r="E28" s="611"/>
      <c r="F28" s="611"/>
      <c r="G28" s="611"/>
      <c r="H28" s="324"/>
      <c r="I28" s="324"/>
    </row>
    <row r="29" spans="1:15" ht="42.6" customHeight="1" x14ac:dyDescent="0.3">
      <c r="A29" s="324"/>
      <c r="B29" s="287" t="s">
        <v>266</v>
      </c>
      <c r="C29" s="288" t="s">
        <v>275</v>
      </c>
      <c r="D29" s="288" t="s">
        <v>274</v>
      </c>
      <c r="E29" s="289" t="s">
        <v>273</v>
      </c>
      <c r="F29" s="324"/>
      <c r="G29" s="327"/>
      <c r="H29" s="326"/>
      <c r="I29" s="326"/>
      <c r="J29" s="455"/>
      <c r="K29" s="455"/>
    </row>
    <row r="30" spans="1:15" x14ac:dyDescent="0.3">
      <c r="A30" s="324"/>
      <c r="B30" s="290" t="s">
        <v>268</v>
      </c>
      <c r="C30" s="431" t="str">
        <f>IF(Càlculs!C4=0,"0",((Càlculs!AD4+Càlculs!AE4)*17/14/(Càlculs!C4)))</f>
        <v>0</v>
      </c>
      <c r="D30" s="122" t="s">
        <v>270</v>
      </c>
      <c r="E30" s="291" t="str">
        <f>IF(C30="0","(no aplica)",(IF(C30&lt;=0.53,"correcte","Supera NEA")))</f>
        <v>(no aplica)</v>
      </c>
      <c r="F30" s="324"/>
      <c r="G30" s="324"/>
      <c r="H30" s="324"/>
      <c r="I30" s="324"/>
      <c r="J30" s="455"/>
      <c r="K30" s="455"/>
    </row>
    <row r="31" spans="1:15" x14ac:dyDescent="0.3">
      <c r="A31" s="324"/>
      <c r="B31" s="290" t="s">
        <v>218</v>
      </c>
      <c r="C31" s="431" t="str">
        <f>IF(Càlculs!C7=0,"0",((Càlculs!AD7+Càlculs!AE7)*17/14/(Càlculs!C7)))</f>
        <v>0</v>
      </c>
      <c r="D31" s="122" t="s">
        <v>271</v>
      </c>
      <c r="E31" s="291" t="str">
        <f>IF(C31="0","(no aplica)",(IF(C31&lt;=2.6,"correcte","Supera NEA")))</f>
        <v>(no aplica)</v>
      </c>
      <c r="F31" s="324"/>
      <c r="G31" s="326"/>
      <c r="H31" s="326"/>
      <c r="I31" s="326"/>
      <c r="J31" s="455"/>
      <c r="K31" s="455"/>
    </row>
    <row r="32" spans="1:15" ht="15" thickBot="1" x14ac:dyDescent="0.35">
      <c r="A32" s="324"/>
      <c r="B32" s="292" t="s">
        <v>267</v>
      </c>
      <c r="C32" s="538" t="str">
        <f>IF(Càlculs!C13=0,"0",((Càlculs!AD13+Càlculs!AE13)*17/14/(Càlculs!C13)))</f>
        <v>0</v>
      </c>
      <c r="D32" s="293" t="s">
        <v>272</v>
      </c>
      <c r="E32" s="294" t="str">
        <f>IF(C32="0","(no aplica)",(IF(C32&lt;=5.6,"correcte","Supera NEA")))</f>
        <v>(no aplica)</v>
      </c>
      <c r="F32" s="324"/>
      <c r="G32" s="326"/>
      <c r="H32" s="326"/>
      <c r="I32" s="326"/>
      <c r="J32" s="455"/>
      <c r="K32" s="455"/>
    </row>
    <row r="33" spans="1:14" s="268" customFormat="1" ht="21.45" customHeight="1" x14ac:dyDescent="0.3">
      <c r="A33" s="295"/>
      <c r="B33" s="295"/>
      <c r="C33" s="295"/>
      <c r="D33" s="295"/>
      <c r="E33" s="295"/>
      <c r="F33" s="295"/>
      <c r="G33" s="295"/>
      <c r="H33" s="295"/>
      <c r="I33" s="295"/>
      <c r="J33" s="455"/>
      <c r="K33" s="455"/>
      <c r="L33" s="455"/>
      <c r="M33" s="455"/>
      <c r="N33" s="455"/>
    </row>
    <row r="34" spans="1:14" ht="15.6" x14ac:dyDescent="0.3">
      <c r="A34" s="325" t="s">
        <v>315</v>
      </c>
      <c r="B34" s="325" t="s">
        <v>442</v>
      </c>
      <c r="C34" s="424"/>
      <c r="D34" s="425"/>
      <c r="E34" s="424"/>
      <c r="F34" s="424"/>
      <c r="G34" s="424"/>
      <c r="H34" s="424"/>
      <c r="I34" s="424"/>
      <c r="J34" s="455"/>
      <c r="K34" s="455"/>
    </row>
    <row r="35" spans="1:14" ht="16.2" thickBot="1" x14ac:dyDescent="0.4">
      <c r="A35" s="325"/>
      <c r="B35" s="426" t="s">
        <v>338</v>
      </c>
      <c r="C35" s="424"/>
      <c r="D35" s="425"/>
      <c r="E35" s="424"/>
      <c r="F35" s="424"/>
      <c r="G35" s="424"/>
      <c r="H35" s="424"/>
      <c r="I35" s="424"/>
    </row>
    <row r="36" spans="1:14" ht="24.75" x14ac:dyDescent="0.35">
      <c r="A36" s="325"/>
      <c r="B36" s="427" t="s">
        <v>266</v>
      </c>
      <c r="C36" s="428"/>
      <c r="D36" s="429" t="s">
        <v>441</v>
      </c>
      <c r="E36" s="424"/>
      <c r="F36" s="424"/>
      <c r="G36" s="424"/>
      <c r="H36" s="424"/>
      <c r="I36" s="424"/>
    </row>
    <row r="37" spans="1:14" ht="15.6" x14ac:dyDescent="0.35">
      <c r="A37" s="325"/>
      <c r="B37" s="430" t="str">
        <f>Dades!$C$25</f>
        <v>Transició (6-20 kg)</v>
      </c>
      <c r="C37" s="431"/>
      <c r="D37" s="291">
        <f>Càlculs!CR4</f>
        <v>0</v>
      </c>
      <c r="E37" s="424"/>
      <c r="F37" s="424"/>
      <c r="G37" s="424"/>
      <c r="H37" s="424"/>
      <c r="I37" s="424"/>
    </row>
    <row r="38" spans="1:14" ht="15.6" x14ac:dyDescent="0.3">
      <c r="A38" s="325"/>
      <c r="B38" s="430" t="str">
        <f>Dades!$C$27</f>
        <v>Engreix (&gt;20 kg)</v>
      </c>
      <c r="C38" s="432"/>
      <c r="D38" s="291">
        <f>Càlculs!CR7</f>
        <v>0</v>
      </c>
      <c r="E38" s="424"/>
      <c r="F38" s="424"/>
      <c r="G38" s="424"/>
      <c r="H38" s="424"/>
      <c r="I38" s="424"/>
    </row>
    <row r="39" spans="1:14" ht="15.6" x14ac:dyDescent="0.3">
      <c r="A39" s="325"/>
      <c r="B39" s="430" t="str">
        <f>Dades!$C$29</f>
        <v>Mascles reproductors</v>
      </c>
      <c r="C39" s="8"/>
      <c r="D39" s="291">
        <f>Càlculs!CR10</f>
        <v>0</v>
      </c>
      <c r="E39" s="424"/>
      <c r="F39" s="424"/>
      <c r="G39" s="424"/>
      <c r="H39" s="424"/>
      <c r="I39" s="424"/>
    </row>
    <row r="40" spans="1:14" ht="15.6" x14ac:dyDescent="0.3">
      <c r="A40" s="325"/>
      <c r="B40" s="430" t="str">
        <f>Dades!$C$31</f>
        <v>Reposició mares</v>
      </c>
      <c r="C40" s="8"/>
      <c r="D40" s="291">
        <f>Càlculs!CR11</f>
        <v>0</v>
      </c>
      <c r="E40" s="424"/>
      <c r="F40" s="424"/>
      <c r="G40" s="424"/>
      <c r="H40" s="424"/>
      <c r="I40" s="424"/>
    </row>
    <row r="41" spans="1:14" ht="15.6" x14ac:dyDescent="0.3">
      <c r="A41" s="325"/>
      <c r="B41" s="430" t="str">
        <f>Dades!$C$33</f>
        <v>Femelles (mares reproductores)</v>
      </c>
      <c r="C41" s="8"/>
      <c r="D41" s="291">
        <f>Càlculs!CR13</f>
        <v>0</v>
      </c>
      <c r="E41" s="424"/>
      <c r="F41" s="424"/>
      <c r="G41" s="424"/>
      <c r="H41" s="424"/>
      <c r="I41" s="424"/>
    </row>
    <row r="42" spans="1:14" ht="16.2" thickBot="1" x14ac:dyDescent="0.35">
      <c r="A42" s="325"/>
      <c r="B42" s="433" t="s">
        <v>339</v>
      </c>
      <c r="C42" s="434"/>
      <c r="D42" s="435">
        <f>SUM(D37:D41)</f>
        <v>0</v>
      </c>
      <c r="E42" s="424"/>
      <c r="F42" s="424"/>
      <c r="G42" s="424"/>
      <c r="H42" s="424"/>
      <c r="I42" s="424"/>
    </row>
    <row r="43" spans="1:14" ht="15.6" x14ac:dyDescent="0.3">
      <c r="A43" s="41"/>
      <c r="B43" s="41"/>
      <c r="C43" s="8"/>
      <c r="D43" s="122"/>
    </row>
    <row r="45" spans="1:14" x14ac:dyDescent="0.3">
      <c r="A45" s="414" t="s">
        <v>443</v>
      </c>
      <c r="B45" s="295"/>
      <c r="C45" s="295"/>
      <c r="D45" s="295"/>
      <c r="E45" s="295"/>
      <c r="F45" s="295"/>
    </row>
    <row r="46" spans="1:14" ht="15.6" x14ac:dyDescent="0.35">
      <c r="A46" t="s">
        <v>327</v>
      </c>
      <c r="B46" s="540" t="str">
        <f>IF((Càlculs!BB18+Càlculs!BL18)=0,"0",(Càlculs!BB18+Càlculs!BL18))</f>
        <v>0</v>
      </c>
      <c r="C46" t="s">
        <v>329</v>
      </c>
    </row>
    <row r="47" spans="1:14" ht="15.6" x14ac:dyDescent="0.35">
      <c r="A47" t="s">
        <v>328</v>
      </c>
      <c r="B47" s="540" t="str">
        <f>IF((Càlculs!BD18+Càlculs!BN18)=0,"0",Càlculs!BD18+Càlculs!BN18)</f>
        <v>0</v>
      </c>
      <c r="C47" t="s">
        <v>330</v>
      </c>
    </row>
    <row r="48" spans="1:14" ht="15.6" x14ac:dyDescent="0.35">
      <c r="A48" t="s">
        <v>341</v>
      </c>
      <c r="B48" s="539">
        <f>Càlculs!CS18</f>
        <v>0</v>
      </c>
      <c r="C48" t="s">
        <v>340</v>
      </c>
    </row>
  </sheetData>
  <sheetProtection sheet="1" objects="1" scenarios="1" formatCells="0" formatColumns="0"/>
  <mergeCells count="8">
    <mergeCell ref="B11:G11"/>
    <mergeCell ref="B17:G17"/>
    <mergeCell ref="B28:G28"/>
    <mergeCell ref="C4:D4"/>
    <mergeCell ref="C5:D5"/>
    <mergeCell ref="C6:D6"/>
    <mergeCell ref="C7:D7"/>
    <mergeCell ref="C8:D8"/>
  </mergeCells>
  <conditionalFormatting sqref="E30:E32">
    <cfRule type="cellIs" dxfId="27" priority="53" operator="equal">
      <formula>"Supera NEA"</formula>
    </cfRule>
    <cfRule type="cellIs" priority="54" operator="equal">
      <formula>"""-"""</formula>
    </cfRule>
    <cfRule type="cellIs" dxfId="26" priority="55" operator="equal">
      <formula>"correcte"</formula>
    </cfRule>
  </conditionalFormatting>
  <conditionalFormatting sqref="E5">
    <cfRule type="expression" dxfId="25" priority="43">
      <formula>$C$5=0</formula>
    </cfRule>
  </conditionalFormatting>
  <conditionalFormatting sqref="E6:G6">
    <cfRule type="expression" dxfId="24" priority="42">
      <formula>$C$6=0</formula>
    </cfRule>
  </conditionalFormatting>
  <conditionalFormatting sqref="E7">
    <cfRule type="expression" dxfId="23" priority="41">
      <formula>$C$7=0</formula>
    </cfRule>
  </conditionalFormatting>
  <conditionalFormatting sqref="E8">
    <cfRule type="expression" dxfId="22" priority="40">
      <formula>$C$8=0</formula>
    </cfRule>
  </conditionalFormatting>
  <conditionalFormatting sqref="F5">
    <cfRule type="expression" dxfId="21" priority="39">
      <formula>$C$5=0</formula>
    </cfRule>
  </conditionalFormatting>
  <conditionalFormatting sqref="F7">
    <cfRule type="expression" dxfId="20" priority="35">
      <formula>$C$7=0</formula>
    </cfRule>
  </conditionalFormatting>
  <conditionalFormatting sqref="F8">
    <cfRule type="expression" dxfId="19" priority="34">
      <formula>$C$8=0</formula>
    </cfRule>
  </conditionalFormatting>
  <conditionalFormatting sqref="G5">
    <cfRule type="expression" dxfId="18" priority="33">
      <formula>$C$5=0</formula>
    </cfRule>
  </conditionalFormatting>
  <conditionalFormatting sqref="G7">
    <cfRule type="expression" dxfId="17" priority="32">
      <formula>$C$7=0</formula>
    </cfRule>
  </conditionalFormatting>
  <conditionalFormatting sqref="G8">
    <cfRule type="expression" dxfId="16" priority="31">
      <formula>$C$8=0</formula>
    </cfRule>
  </conditionalFormatting>
  <conditionalFormatting sqref="E4">
    <cfRule type="expression" dxfId="15" priority="26">
      <formula>$C4=0</formula>
    </cfRule>
    <cfRule type="expression" dxfId="14" priority="27">
      <formula>$C4="0000AA"</formula>
    </cfRule>
  </conditionalFormatting>
  <conditionalFormatting sqref="H5">
    <cfRule type="expression" dxfId="13" priority="16">
      <formula>$C$5=0</formula>
    </cfRule>
  </conditionalFormatting>
  <conditionalFormatting sqref="H6">
    <cfRule type="expression" dxfId="12" priority="15">
      <formula>$C$6=0</formula>
    </cfRule>
  </conditionalFormatting>
  <conditionalFormatting sqref="H7">
    <cfRule type="expression" dxfId="11" priority="14">
      <formula>$C$7=0</formula>
    </cfRule>
  </conditionalFormatting>
  <conditionalFormatting sqref="H8">
    <cfRule type="expression" dxfId="10" priority="13">
      <formula>$C$8=0</formula>
    </cfRule>
  </conditionalFormatting>
  <conditionalFormatting sqref="C4">
    <cfRule type="cellIs" dxfId="9" priority="12" operator="equal">
      <formula>0</formula>
    </cfRule>
  </conditionalFormatting>
  <conditionalFormatting sqref="F4">
    <cfRule type="expression" dxfId="8" priority="8">
      <formula>$C4=0</formula>
    </cfRule>
    <cfRule type="expression" dxfId="7" priority="9">
      <formula>$C4="0000AA"</formula>
    </cfRule>
  </conditionalFormatting>
  <conditionalFormatting sqref="G4">
    <cfRule type="expression" dxfId="6" priority="6">
      <formula>$C4=0</formula>
    </cfRule>
    <cfRule type="expression" dxfId="5" priority="7">
      <formula>$C4="0000AA"</formula>
    </cfRule>
  </conditionalFormatting>
  <conditionalFormatting sqref="H4">
    <cfRule type="expression" dxfId="4" priority="4">
      <formula>$C4=0</formula>
    </cfRule>
    <cfRule type="expression" dxfId="3" priority="5">
      <formula>$C4="0000AA"</formula>
    </cfRule>
  </conditionalFormatting>
  <conditionalFormatting sqref="C5">
    <cfRule type="cellIs" dxfId="2" priority="3" operator="equal">
      <formula>0</formula>
    </cfRule>
  </conditionalFormatting>
  <conditionalFormatting sqref="C6:C7">
    <cfRule type="cellIs" dxfId="1" priority="2" operator="equal">
      <formula>0</formula>
    </cfRule>
  </conditionalFormatting>
  <conditionalFormatting sqref="C8">
    <cfRule type="cellIs" dxfId="0" priority="1" operator="equal">
      <formula>0</formula>
    </cfRule>
  </conditionalFormatting>
  <pageMargins left="0.25" right="0.25"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4"/>
  <dimension ref="A1:CS47"/>
  <sheetViews>
    <sheetView zoomScale="85" zoomScaleNormal="85" workbookViewId="0">
      <pane xSplit="4" ySplit="3" topLeftCell="E4" activePane="bottomRight" state="frozen"/>
      <selection pane="topRight" activeCell="E1" sqref="E1"/>
      <selection pane="bottomLeft" activeCell="A4" sqref="A4"/>
      <selection pane="bottomRight" activeCell="BK10" sqref="BK10"/>
    </sheetView>
  </sheetViews>
  <sheetFormatPr defaultColWidth="11.5546875" defaultRowHeight="14.4" x14ac:dyDescent="0.3"/>
  <cols>
    <col min="2" max="2" width="30.109375" customWidth="1" collapsed="1"/>
    <col min="3" max="3" width="10.44140625" bestFit="1" customWidth="1" collapsed="1"/>
    <col min="4" max="4" width="9.88671875" bestFit="1" customWidth="1" collapsed="1"/>
    <col min="5" max="5" width="15.33203125" bestFit="1" customWidth="1" collapsed="1"/>
    <col min="6" max="6" width="12.6640625" bestFit="1" customWidth="1" collapsed="1"/>
    <col min="7" max="7" width="15.33203125" bestFit="1" customWidth="1" collapsed="1"/>
    <col min="8" max="10" width="8.6640625" bestFit="1" customWidth="1" collapsed="1"/>
    <col min="11" max="11" width="8.88671875" bestFit="1" customWidth="1" collapsed="1"/>
    <col min="12" max="12" width="10.5546875" bestFit="1" customWidth="1" collapsed="1"/>
    <col min="13" max="13" width="10" bestFit="1" customWidth="1" collapsed="1"/>
    <col min="14" max="14" width="11.33203125" bestFit="1" customWidth="1" collapsed="1"/>
    <col min="15" max="15" width="23.88671875" bestFit="1" customWidth="1" collapsed="1"/>
    <col min="16" max="16" width="8.88671875" bestFit="1" customWidth="1" collapsed="1"/>
    <col min="17" max="17" width="18" bestFit="1" customWidth="1" collapsed="1"/>
    <col min="18" max="18" width="20.33203125" bestFit="1" customWidth="1" collapsed="1"/>
    <col min="19" max="19" width="19" bestFit="1" customWidth="1" collapsed="1"/>
    <col min="20" max="20" width="11" bestFit="1" customWidth="1" collapsed="1"/>
    <col min="21" max="21" width="20.33203125" bestFit="1" customWidth="1" collapsed="1"/>
    <col min="22" max="22" width="8.88671875" bestFit="1" customWidth="1" collapsed="1"/>
    <col min="23" max="23" width="13" bestFit="1" customWidth="1" collapsed="1"/>
    <col min="24" max="24" width="13.44140625" bestFit="1" customWidth="1" collapsed="1"/>
    <col min="25" max="25" width="13.33203125" bestFit="1" customWidth="1" collapsed="1"/>
    <col min="26" max="26" width="14.109375" bestFit="1" customWidth="1" collapsed="1"/>
    <col min="27" max="27" width="15.5546875" bestFit="1" customWidth="1" collapsed="1"/>
    <col min="28" max="28" width="16" bestFit="1" customWidth="1" collapsed="1"/>
    <col min="29" max="29" width="8.88671875" bestFit="1" customWidth="1" collapsed="1"/>
    <col min="30" max="30" width="14.33203125" bestFit="1" customWidth="1" collapsed="1"/>
    <col min="31" max="31" width="14.6640625" bestFit="1" customWidth="1" collapsed="1"/>
    <col min="32" max="32" width="9.44140625" bestFit="1" customWidth="1" collapsed="1"/>
    <col min="33" max="33" width="16.44140625" bestFit="1" customWidth="1" collapsed="1"/>
    <col min="34" max="34" width="18.6640625" bestFit="1" customWidth="1" collapsed="1"/>
    <col min="35" max="35" width="16.88671875" bestFit="1" customWidth="1" collapsed="1"/>
    <col min="36" max="36" width="19.109375" bestFit="1" customWidth="1" collapsed="1"/>
    <col min="37" max="37" width="8.88671875" bestFit="1" customWidth="1" collapsed="1"/>
    <col min="38" max="38" width="25.109375" bestFit="1" customWidth="1" collapsed="1"/>
    <col min="39" max="39" width="26" bestFit="1" customWidth="1" collapsed="1"/>
    <col min="40" max="40" width="24" bestFit="1" customWidth="1" collapsed="1"/>
    <col min="41" max="41" width="21" bestFit="1" customWidth="1" collapsed="1"/>
    <col min="42" max="42" width="24.109375" bestFit="1" customWidth="1" collapsed="1"/>
    <col min="43" max="43" width="25" bestFit="1" customWidth="1" collapsed="1"/>
    <col min="44" max="44" width="23" bestFit="1" customWidth="1" collapsed="1"/>
    <col min="45" max="45" width="23.88671875" bestFit="1" customWidth="1" collapsed="1"/>
    <col min="46" max="46" width="21" bestFit="1" customWidth="1" collapsed="1"/>
    <col min="47" max="47" width="19" bestFit="1" customWidth="1" collapsed="1"/>
    <col min="48" max="48" width="19.88671875" bestFit="1" customWidth="1" collapsed="1"/>
    <col min="49" max="49" width="17.88671875" bestFit="1" customWidth="1" collapsed="1"/>
    <col min="50" max="50" width="15.6640625" bestFit="1" customWidth="1" collapsed="1"/>
    <col min="51" max="51" width="14.44140625" bestFit="1" customWidth="1" collapsed="1"/>
    <col min="52" max="52" width="16.88671875" bestFit="1" customWidth="1" collapsed="1"/>
    <col min="53" max="53" width="20.109375" bestFit="1" customWidth="1" collapsed="1"/>
    <col min="54" max="54" width="20.33203125" bestFit="1" customWidth="1" collapsed="1"/>
    <col min="55" max="55" width="18.88671875" bestFit="1" customWidth="1" collapsed="1"/>
    <col min="56" max="56" width="19.33203125" bestFit="1" customWidth="1" collapsed="1"/>
    <col min="57" max="57" width="17.5546875" bestFit="1" customWidth="1" collapsed="1"/>
    <col min="58" max="58" width="20.33203125" bestFit="1" customWidth="1" collapsed="1"/>
    <col min="59" max="59" width="9" bestFit="1" customWidth="1" collapsed="1"/>
    <col min="60" max="60" width="14.88671875" bestFit="1" customWidth="1" collapsed="1"/>
    <col min="61" max="61" width="17.33203125" bestFit="1" customWidth="1" collapsed="1"/>
    <col min="62" max="62" width="20.33203125" bestFit="1" customWidth="1" collapsed="1"/>
    <col min="63" max="63" width="20.6640625" customWidth="1" collapsed="1"/>
    <col min="64" max="64" width="20.6640625" bestFit="1" customWidth="1" collapsed="1"/>
    <col min="65" max="65" width="19.33203125" bestFit="1" customWidth="1" collapsed="1"/>
    <col min="66" max="66" width="19.6640625" bestFit="1" customWidth="1" collapsed="1"/>
    <col min="67" max="67" width="18" bestFit="1" customWidth="1" collapsed="1"/>
    <col min="68" max="68" width="20.33203125" bestFit="1" customWidth="1" collapsed="1"/>
    <col min="69" max="69" width="9" bestFit="1" customWidth="1" collapsed="1"/>
    <col min="70" max="70" width="23.109375" bestFit="1" customWidth="1" collapsed="1"/>
    <col min="71" max="71" width="22.109375" bestFit="1" customWidth="1" collapsed="1"/>
    <col min="72" max="72" width="24.88671875" bestFit="1" customWidth="1" collapsed="1"/>
    <col min="73" max="73" width="22.109375" bestFit="1" customWidth="1" collapsed="1"/>
    <col min="74" max="74" width="13.109375" bestFit="1" customWidth="1" collapsed="1"/>
    <col min="75" max="75" width="15.44140625" bestFit="1" customWidth="1" collapsed="1"/>
    <col min="76" max="76" width="14.109375" bestFit="1" customWidth="1" collapsed="1"/>
    <col min="77" max="77" width="16.33203125" bestFit="1" customWidth="1" collapsed="1"/>
    <col min="78" max="78" width="18.44140625" bestFit="1" customWidth="1" collapsed="1"/>
    <col min="79" max="79" width="14.109375" bestFit="1" customWidth="1" collapsed="1"/>
    <col min="80" max="80" width="16" bestFit="1" customWidth="1" collapsed="1"/>
    <col min="81" max="81" width="14.6640625" bestFit="1" customWidth="1" collapsed="1"/>
    <col min="82" max="82" width="17.88671875" bestFit="1" customWidth="1" collapsed="1"/>
    <col min="83" max="83" width="19" bestFit="1" customWidth="1" collapsed="1"/>
    <col min="84" max="84" width="17" bestFit="1" customWidth="1" collapsed="1"/>
    <col min="85" max="85" width="18.109375" bestFit="1" customWidth="1" collapsed="1"/>
    <col min="86" max="86" width="15.5546875" bestFit="1" customWidth="1" collapsed="1"/>
    <col min="87" max="87" width="10.88671875" bestFit="1" customWidth="1" collapsed="1"/>
    <col min="88" max="88" width="17.5546875" bestFit="1" customWidth="1" collapsed="1"/>
    <col min="89" max="91" width="11.109375" bestFit="1" customWidth="1" collapsed="1"/>
    <col min="92" max="92" width="12.6640625" bestFit="1" customWidth="1" collapsed="1"/>
    <col min="93" max="93" width="12.44140625" bestFit="1" customWidth="1" collapsed="1"/>
    <col min="94" max="94" width="10.5546875" customWidth="1" collapsed="1"/>
  </cols>
  <sheetData>
    <row r="1" spans="1:97" s="41" customFormat="1" ht="18" x14ac:dyDescent="0.4">
      <c r="A1" s="622" t="s">
        <v>53</v>
      </c>
      <c r="B1" s="622" t="s">
        <v>16</v>
      </c>
      <c r="C1" s="624" t="s">
        <v>17</v>
      </c>
      <c r="D1" s="618" t="s">
        <v>52</v>
      </c>
      <c r="E1" s="619"/>
      <c r="F1" s="619"/>
      <c r="G1" s="621"/>
      <c r="H1" s="618" t="s">
        <v>73</v>
      </c>
      <c r="I1" s="619"/>
      <c r="J1" s="621"/>
      <c r="K1" s="618" t="s">
        <v>1</v>
      </c>
      <c r="L1" s="619"/>
      <c r="M1" s="619"/>
      <c r="N1" s="619"/>
      <c r="O1" s="619"/>
      <c r="P1" s="621"/>
      <c r="Q1" s="618" t="s">
        <v>116</v>
      </c>
      <c r="R1" s="619"/>
      <c r="S1" s="619"/>
      <c r="T1" s="619"/>
      <c r="U1" s="619"/>
      <c r="V1" s="621"/>
      <c r="W1" s="618" t="s">
        <v>0</v>
      </c>
      <c r="X1" s="619"/>
      <c r="Y1" s="619"/>
      <c r="Z1" s="619"/>
      <c r="AA1" s="619"/>
      <c r="AB1" s="619"/>
      <c r="AC1" s="619"/>
      <c r="AD1" s="619"/>
      <c r="AE1" s="619"/>
      <c r="AF1" s="618" t="s">
        <v>187</v>
      </c>
      <c r="AG1" s="619"/>
      <c r="AH1" s="619"/>
      <c r="AI1" s="619"/>
      <c r="AJ1" s="619"/>
      <c r="AK1" s="76"/>
      <c r="AL1" s="618" t="s">
        <v>72</v>
      </c>
      <c r="AM1" s="619"/>
      <c r="AN1" s="619"/>
      <c r="AO1" s="619"/>
      <c r="AP1" s="618" t="s">
        <v>74</v>
      </c>
      <c r="AQ1" s="619"/>
      <c r="AR1" s="619"/>
      <c r="AS1" s="619"/>
      <c r="AT1" s="621"/>
      <c r="AU1" s="619" t="s">
        <v>129</v>
      </c>
      <c r="AV1" s="619"/>
      <c r="AW1" s="619"/>
      <c r="AX1" s="621"/>
      <c r="AY1" s="618" t="s">
        <v>140</v>
      </c>
      <c r="AZ1" s="619"/>
      <c r="BA1" s="619"/>
      <c r="BB1" s="619"/>
      <c r="BC1" s="619"/>
      <c r="BD1" s="619"/>
      <c r="BE1" s="619"/>
      <c r="BF1" s="619"/>
      <c r="BG1" s="621"/>
      <c r="BH1" s="618" t="s">
        <v>145</v>
      </c>
      <c r="BI1" s="619"/>
      <c r="BJ1" s="619"/>
      <c r="BK1" s="619"/>
      <c r="BL1" s="619"/>
      <c r="BM1" s="619"/>
      <c r="BN1" s="619"/>
      <c r="BO1" s="619"/>
      <c r="BP1" s="44"/>
      <c r="BQ1" s="76"/>
      <c r="BR1" s="616" t="s">
        <v>148</v>
      </c>
      <c r="BS1" s="620"/>
      <c r="BT1" s="616" t="s">
        <v>149</v>
      </c>
      <c r="BU1" s="617"/>
      <c r="BV1" s="618" t="s">
        <v>150</v>
      </c>
      <c r="BW1" s="619"/>
      <c r="BX1" s="619"/>
      <c r="BY1" s="619"/>
      <c r="BZ1" s="619"/>
      <c r="CA1" s="618" t="s">
        <v>153</v>
      </c>
      <c r="CB1" s="619"/>
      <c r="CC1" s="619"/>
      <c r="CD1" s="619"/>
      <c r="CE1" s="619"/>
      <c r="CF1" s="618" t="s">
        <v>164</v>
      </c>
      <c r="CG1" s="619"/>
      <c r="CH1" s="616" t="s">
        <v>101</v>
      </c>
      <c r="CI1" s="620"/>
      <c r="CJ1" s="119" t="s">
        <v>189</v>
      </c>
      <c r="CK1" s="119" t="s">
        <v>170</v>
      </c>
      <c r="CL1" s="119" t="s">
        <v>169</v>
      </c>
      <c r="CM1" s="119" t="s">
        <v>209</v>
      </c>
      <c r="CN1" s="187" t="s">
        <v>172</v>
      </c>
      <c r="CO1" s="187" t="s">
        <v>171</v>
      </c>
      <c r="CP1" s="266"/>
      <c r="CR1" s="418" t="s">
        <v>334</v>
      </c>
      <c r="CS1" s="187" t="s">
        <v>335</v>
      </c>
    </row>
    <row r="2" spans="1:97" s="25" customFormat="1" ht="31.95" customHeight="1" x14ac:dyDescent="0.3">
      <c r="A2" s="622"/>
      <c r="B2" s="622"/>
      <c r="C2" s="625"/>
      <c r="D2" s="87" t="s">
        <v>55</v>
      </c>
      <c r="E2" s="25" t="s">
        <v>56</v>
      </c>
      <c r="F2" s="25" t="s">
        <v>47</v>
      </c>
      <c r="G2" s="30" t="s">
        <v>174</v>
      </c>
      <c r="H2" s="87" t="s">
        <v>20</v>
      </c>
      <c r="I2" s="25" t="s">
        <v>18</v>
      </c>
      <c r="J2" s="30" t="s">
        <v>19</v>
      </c>
      <c r="K2" s="25" t="s">
        <v>21</v>
      </c>
      <c r="L2" s="25" t="s">
        <v>22</v>
      </c>
      <c r="M2" s="27" t="s">
        <v>25</v>
      </c>
      <c r="N2" s="39" t="s">
        <v>49</v>
      </c>
      <c r="O2" s="32" t="s">
        <v>137</v>
      </c>
      <c r="P2" s="28" t="s">
        <v>175</v>
      </c>
      <c r="Q2" s="80" t="s">
        <v>126</v>
      </c>
      <c r="R2" s="26" t="s">
        <v>127</v>
      </c>
      <c r="S2" s="27" t="s">
        <v>125</v>
      </c>
      <c r="T2" s="39" t="s">
        <v>98</v>
      </c>
      <c r="U2" s="32" t="s">
        <v>127</v>
      </c>
      <c r="V2" s="28" t="s">
        <v>54</v>
      </c>
      <c r="W2" s="29" t="s">
        <v>58</v>
      </c>
      <c r="X2" s="25" t="s">
        <v>59</v>
      </c>
      <c r="Y2" s="25" t="s">
        <v>60</v>
      </c>
      <c r="Z2" s="25" t="s">
        <v>61</v>
      </c>
      <c r="AA2" s="25" t="s">
        <v>62</v>
      </c>
      <c r="AB2" s="25" t="s">
        <v>63</v>
      </c>
      <c r="AC2" s="113" t="s">
        <v>176</v>
      </c>
      <c r="AD2" s="27" t="s">
        <v>66</v>
      </c>
      <c r="AE2" s="27" t="s">
        <v>67</v>
      </c>
      <c r="AF2" s="77" t="s">
        <v>188</v>
      </c>
      <c r="AG2" s="39" t="s">
        <v>69</v>
      </c>
      <c r="AH2" s="39" t="s">
        <v>70</v>
      </c>
      <c r="AI2" s="39" t="s">
        <v>133</v>
      </c>
      <c r="AJ2" s="39" t="s">
        <v>135</v>
      </c>
      <c r="AK2" s="113" t="s">
        <v>177</v>
      </c>
      <c r="AL2" s="34" t="s">
        <v>76</v>
      </c>
      <c r="AM2" s="34" t="s">
        <v>83</v>
      </c>
      <c r="AN2" s="34" t="s">
        <v>71</v>
      </c>
      <c r="AO2" s="34" t="s">
        <v>123</v>
      </c>
      <c r="AP2" s="33" t="s">
        <v>77</v>
      </c>
      <c r="AQ2" s="267" t="s">
        <v>84</v>
      </c>
      <c r="AR2" s="34" t="s">
        <v>75</v>
      </c>
      <c r="AS2" s="34" t="s">
        <v>106</v>
      </c>
      <c r="AT2" s="35" t="s">
        <v>124</v>
      </c>
      <c r="AU2" s="267" t="s">
        <v>128</v>
      </c>
      <c r="AV2" s="34" t="s">
        <v>130</v>
      </c>
      <c r="AW2" s="34" t="s">
        <v>131</v>
      </c>
      <c r="AX2" s="35" t="s">
        <v>132</v>
      </c>
      <c r="AY2" s="29" t="s">
        <v>78</v>
      </c>
      <c r="AZ2" s="25" t="s">
        <v>79</v>
      </c>
      <c r="BA2" s="27" t="s">
        <v>80</v>
      </c>
      <c r="BB2" s="27" t="s">
        <v>81</v>
      </c>
      <c r="BC2" s="27" t="s">
        <v>82</v>
      </c>
      <c r="BD2" s="27" t="s">
        <v>213</v>
      </c>
      <c r="BE2" s="39" t="s">
        <v>141</v>
      </c>
      <c r="BF2" s="112" t="s">
        <v>139</v>
      </c>
      <c r="BG2" s="113" t="s">
        <v>178</v>
      </c>
      <c r="BH2" s="25" t="s">
        <v>85</v>
      </c>
      <c r="BI2" s="25" t="s">
        <v>86</v>
      </c>
      <c r="BJ2" s="26" t="s">
        <v>87</v>
      </c>
      <c r="BK2" s="27" t="s">
        <v>88</v>
      </c>
      <c r="BL2" s="27" t="s">
        <v>95</v>
      </c>
      <c r="BM2" s="27" t="s">
        <v>96</v>
      </c>
      <c r="BN2" s="27" t="s">
        <v>214</v>
      </c>
      <c r="BO2" s="39" t="s">
        <v>146</v>
      </c>
      <c r="BP2" s="39" t="s">
        <v>155</v>
      </c>
      <c r="BQ2" s="113" t="s">
        <v>179</v>
      </c>
      <c r="BR2" s="89" t="s">
        <v>108</v>
      </c>
      <c r="BS2" s="90" t="s">
        <v>147</v>
      </c>
      <c r="BT2" s="91" t="s">
        <v>109</v>
      </c>
      <c r="BU2" s="89" t="s">
        <v>147</v>
      </c>
      <c r="BV2" s="80" t="s">
        <v>89</v>
      </c>
      <c r="BW2" s="26" t="s">
        <v>90</v>
      </c>
      <c r="BX2" s="27" t="s">
        <v>91</v>
      </c>
      <c r="BY2" s="39" t="s">
        <v>157</v>
      </c>
      <c r="BZ2" s="39" t="s">
        <v>159</v>
      </c>
      <c r="CA2" s="80" t="s">
        <v>92</v>
      </c>
      <c r="CB2" s="26" t="s">
        <v>93</v>
      </c>
      <c r="CC2" s="27" t="s">
        <v>94</v>
      </c>
      <c r="CD2" s="39" t="s">
        <v>161</v>
      </c>
      <c r="CE2" s="39" t="s">
        <v>163</v>
      </c>
      <c r="CF2" s="170" t="s">
        <v>166</v>
      </c>
      <c r="CG2" s="39" t="s">
        <v>168</v>
      </c>
      <c r="CH2" s="80" t="s">
        <v>97</v>
      </c>
      <c r="CI2" s="172" t="s">
        <v>107</v>
      </c>
      <c r="CJ2" s="118" t="s">
        <v>190</v>
      </c>
      <c r="CK2" s="118" t="s">
        <v>210</v>
      </c>
      <c r="CL2" s="118" t="s">
        <v>211</v>
      </c>
      <c r="CM2" s="118" t="s">
        <v>212</v>
      </c>
      <c r="CN2" s="614" t="s">
        <v>24</v>
      </c>
      <c r="CO2" s="614" t="s">
        <v>173</v>
      </c>
      <c r="CP2" s="88" t="s">
        <v>2</v>
      </c>
      <c r="CR2" s="419" t="s">
        <v>336</v>
      </c>
      <c r="CS2" s="419" t="s">
        <v>336</v>
      </c>
    </row>
    <row r="3" spans="1:97" s="21" customFormat="1" ht="18" x14ac:dyDescent="0.3">
      <c r="A3" s="623"/>
      <c r="B3" s="623"/>
      <c r="C3" s="152" t="s">
        <v>192</v>
      </c>
      <c r="D3" s="31" t="s">
        <v>216</v>
      </c>
      <c r="E3" s="86" t="s">
        <v>24</v>
      </c>
      <c r="F3" s="86" t="s">
        <v>57</v>
      </c>
      <c r="G3" s="4" t="s">
        <v>48</v>
      </c>
      <c r="H3" s="31"/>
      <c r="I3" s="86"/>
      <c r="J3" s="4"/>
      <c r="K3" s="86" t="s">
        <v>15</v>
      </c>
      <c r="L3" s="43" t="s">
        <v>27</v>
      </c>
      <c r="M3" s="23" t="s">
        <v>26</v>
      </c>
      <c r="N3" s="37" t="s">
        <v>15</v>
      </c>
      <c r="O3" s="38" t="s">
        <v>26</v>
      </c>
      <c r="P3" s="24"/>
      <c r="Q3" s="16" t="s">
        <v>15</v>
      </c>
      <c r="R3" s="17" t="s">
        <v>27</v>
      </c>
      <c r="S3" s="23" t="s">
        <v>26</v>
      </c>
      <c r="T3" s="37" t="s">
        <v>15</v>
      </c>
      <c r="U3" s="38" t="s">
        <v>26</v>
      </c>
      <c r="V3" s="24"/>
      <c r="W3" s="133"/>
      <c r="X3" s="85"/>
      <c r="Y3" s="85" t="s">
        <v>15</v>
      </c>
      <c r="Z3" s="85" t="s">
        <v>15</v>
      </c>
      <c r="AA3" s="85" t="s">
        <v>26</v>
      </c>
      <c r="AB3" s="85" t="s">
        <v>26</v>
      </c>
      <c r="AC3" s="114"/>
      <c r="AD3" s="23" t="s">
        <v>26</v>
      </c>
      <c r="AE3" s="23" t="s">
        <v>26</v>
      </c>
      <c r="AF3" s="36" t="s">
        <v>68</v>
      </c>
      <c r="AG3" s="79" t="s">
        <v>121</v>
      </c>
      <c r="AH3" s="79" t="s">
        <v>136</v>
      </c>
      <c r="AI3" s="79" t="s">
        <v>122</v>
      </c>
      <c r="AJ3" s="79" t="s">
        <v>134</v>
      </c>
      <c r="AK3" s="114"/>
      <c r="AL3" s="133"/>
      <c r="AM3" s="85"/>
      <c r="AN3" s="85"/>
      <c r="AO3" s="85"/>
      <c r="AP3" s="133"/>
      <c r="AQ3" s="85"/>
      <c r="AR3" s="85"/>
      <c r="AS3" s="85"/>
      <c r="AT3" s="3"/>
      <c r="AU3" s="85"/>
      <c r="AV3" s="85"/>
      <c r="AW3" s="85"/>
      <c r="AX3" s="3"/>
      <c r="AY3" s="133"/>
      <c r="AZ3" s="85"/>
      <c r="BA3" s="118" t="s">
        <v>26</v>
      </c>
      <c r="BB3" s="118" t="s">
        <v>111</v>
      </c>
      <c r="BC3" s="118" t="s">
        <v>112</v>
      </c>
      <c r="BD3" s="118" t="s">
        <v>215</v>
      </c>
      <c r="BE3" s="39" t="s">
        <v>99</v>
      </c>
      <c r="BF3" s="39" t="s">
        <v>138</v>
      </c>
      <c r="BG3" s="114"/>
      <c r="BH3" s="82"/>
      <c r="BK3" s="23" t="s">
        <v>26</v>
      </c>
      <c r="BL3" s="23" t="s">
        <v>111</v>
      </c>
      <c r="BM3" s="23" t="s">
        <v>112</v>
      </c>
      <c r="BN3" s="23" t="s">
        <v>215</v>
      </c>
      <c r="BO3" s="79" t="s">
        <v>100</v>
      </c>
      <c r="BP3" s="78" t="s">
        <v>154</v>
      </c>
      <c r="BQ3" s="114"/>
      <c r="BR3" s="11"/>
      <c r="BS3" s="144"/>
      <c r="BT3" s="12"/>
      <c r="BU3" s="11"/>
      <c r="BV3" s="81" t="s">
        <v>151</v>
      </c>
      <c r="BW3" s="42" t="s">
        <v>152</v>
      </c>
      <c r="BX3" s="40" t="s">
        <v>110</v>
      </c>
      <c r="BY3" s="79" t="s">
        <v>156</v>
      </c>
      <c r="BZ3" s="79" t="s">
        <v>158</v>
      </c>
      <c r="CA3" s="81" t="s">
        <v>151</v>
      </c>
      <c r="CB3" s="42" t="s">
        <v>152</v>
      </c>
      <c r="CC3" s="40" t="s">
        <v>110</v>
      </c>
      <c r="CD3" s="79" t="s">
        <v>160</v>
      </c>
      <c r="CE3" s="79" t="s">
        <v>162</v>
      </c>
      <c r="CF3" s="111" t="s">
        <v>165</v>
      </c>
      <c r="CG3" s="79" t="s">
        <v>167</v>
      </c>
      <c r="CH3" s="81" t="s">
        <v>151</v>
      </c>
      <c r="CI3" s="239" t="s">
        <v>152</v>
      </c>
      <c r="CJ3" s="120" t="s">
        <v>24</v>
      </c>
      <c r="CK3" s="120" t="s">
        <v>24</v>
      </c>
      <c r="CL3" s="120" t="s">
        <v>24</v>
      </c>
      <c r="CM3" s="120" t="s">
        <v>24</v>
      </c>
      <c r="CN3" s="615"/>
      <c r="CO3" s="615"/>
      <c r="CP3" s="121"/>
      <c r="CR3" s="413" t="s">
        <v>332</v>
      </c>
      <c r="CS3" s="413" t="s">
        <v>337</v>
      </c>
    </row>
    <row r="4" spans="1:97" s="84" customFormat="1" x14ac:dyDescent="0.3">
      <c r="A4" s="83" t="s">
        <v>439</v>
      </c>
      <c r="B4" s="284" t="s">
        <v>268</v>
      </c>
      <c r="C4" s="93">
        <f>Dades!E25</f>
        <v>0</v>
      </c>
      <c r="D4" s="129">
        <v>1.05</v>
      </c>
      <c r="E4" s="153">
        <f>C4*D4</f>
        <v>0</v>
      </c>
      <c r="F4" s="95">
        <v>0.63490000000000002</v>
      </c>
      <c r="G4" s="96">
        <f>E4*F4</f>
        <v>0</v>
      </c>
      <c r="H4" s="98">
        <f>F.Distribució!E4</f>
        <v>0</v>
      </c>
      <c r="I4" s="95">
        <f>F.Distribució!F4</f>
        <v>0</v>
      </c>
      <c r="J4" s="96">
        <f>F.Distribució!G4</f>
        <v>1</v>
      </c>
      <c r="K4" s="94">
        <f>E4*H4</f>
        <v>0</v>
      </c>
      <c r="L4" s="94">
        <f>G4*H4</f>
        <v>0</v>
      </c>
      <c r="M4" s="99">
        <f>L4*F.Emissió!F3</f>
        <v>0</v>
      </c>
      <c r="N4" s="100">
        <f>K4-M4</f>
        <v>0</v>
      </c>
      <c r="O4" s="101">
        <f>L4-M4</f>
        <v>0</v>
      </c>
      <c r="P4" s="102">
        <f>(H4*G4)-(M4+O4)</f>
        <v>0</v>
      </c>
      <c r="Q4" s="98">
        <f>E4*I4</f>
        <v>0</v>
      </c>
      <c r="R4" s="94">
        <f>G4*I4</f>
        <v>0</v>
      </c>
      <c r="S4" s="99">
        <f>R4*F.Emissió!I3</f>
        <v>0</v>
      </c>
      <c r="T4" s="100">
        <f>Q4-S4</f>
        <v>0</v>
      </c>
      <c r="U4" s="101">
        <f>R4-S4</f>
        <v>0</v>
      </c>
      <c r="V4" s="102">
        <f>T4+S4+N4+M4-(E4*H4+E4*I4)</f>
        <v>0</v>
      </c>
      <c r="W4" s="97">
        <f>F.Distribució!H4</f>
        <v>0</v>
      </c>
      <c r="X4" s="95">
        <f>F.Distribució!I4</f>
        <v>1</v>
      </c>
      <c r="Y4" s="95">
        <f>E4*J4*W4</f>
        <v>0</v>
      </c>
      <c r="Z4" s="153">
        <f>E4*J4*X4</f>
        <v>0</v>
      </c>
      <c r="AA4" s="153">
        <f>G4*J4*W4</f>
        <v>0</v>
      </c>
      <c r="AB4" s="155">
        <f>G4*J4*X4</f>
        <v>0</v>
      </c>
      <c r="AC4" s="115">
        <f>(AA4+AB4)-G4*J4</f>
        <v>0</v>
      </c>
      <c r="AD4" s="159">
        <f>AA4*F.Emissió!M3</f>
        <v>0</v>
      </c>
      <c r="AE4" s="159">
        <f>AB4*F.Emissió!Q3</f>
        <v>0</v>
      </c>
      <c r="AF4" s="105">
        <f>F.Distribució!J4</f>
        <v>0</v>
      </c>
      <c r="AG4" s="160">
        <f>(C4*AF4*J4*W4)+Y4-AD4</f>
        <v>0</v>
      </c>
      <c r="AH4" s="160">
        <f>(AA4-AD4)*(1-0.0067)</f>
        <v>0</v>
      </c>
      <c r="AI4" s="160">
        <f>Z4-AE4</f>
        <v>0</v>
      </c>
      <c r="AJ4" s="160">
        <f>AB4-AE4</f>
        <v>0</v>
      </c>
      <c r="AK4" s="143">
        <f>(AG4+AI4+T4+N4)+(M4+S4+AD4+AE4)-(E4+AF4*C4*J4*W4)</f>
        <v>0</v>
      </c>
      <c r="AL4" s="97">
        <f>F.Distribució!L4</f>
        <v>0</v>
      </c>
      <c r="AM4" s="95">
        <f>F.Distribució!M4</f>
        <v>0</v>
      </c>
      <c r="AN4" s="95">
        <f>F.Distribució!N4</f>
        <v>0</v>
      </c>
      <c r="AO4" s="95">
        <f>F.Distribució!O4</f>
        <v>0</v>
      </c>
      <c r="AP4" s="97">
        <f>F.Distribució!R4</f>
        <v>0</v>
      </c>
      <c r="AQ4" s="95">
        <f>F.Distribució!S4</f>
        <v>1</v>
      </c>
      <c r="AR4" s="95">
        <f>F.Distribució!U4</f>
        <v>0</v>
      </c>
      <c r="AS4" s="95">
        <f>F.Distribució!V4</f>
        <v>0</v>
      </c>
      <c r="AT4" s="95">
        <f>F.Distribució!W4</f>
        <v>0</v>
      </c>
      <c r="AU4" s="97">
        <f>F.Distribució!Y4</f>
        <v>0</v>
      </c>
      <c r="AV4" s="95">
        <f>F.Distribució!Z4</f>
        <v>0</v>
      </c>
      <c r="AW4" s="95">
        <f>F.Distribució!AA4</f>
        <v>0</v>
      </c>
      <c r="AX4" s="96">
        <f>F.Distribució!AB4</f>
        <v>0</v>
      </c>
      <c r="AY4" s="95">
        <f>AG4*AL4+T4*AU4+AI4*AP4</f>
        <v>0</v>
      </c>
      <c r="AZ4" s="95">
        <f>AH4*AL4+AJ4*AP4+U4*AU4</f>
        <v>0</v>
      </c>
      <c r="BA4" s="103">
        <f>AZ4*F.Emissió!T3</f>
        <v>0</v>
      </c>
      <c r="BB4" s="103">
        <f>(AZ4*F.Emissió!AE3)</f>
        <v>0</v>
      </c>
      <c r="BC4" s="103">
        <f>(AZ4*F.Emissió!AF3)</f>
        <v>0</v>
      </c>
      <c r="BD4" s="103">
        <f>(AZ4*F.Emissió!AG3)</f>
        <v>0</v>
      </c>
      <c r="BE4" s="104">
        <f t="shared" ref="BE4:BE13" si="0">AY4-BA4-BB4*(28/44)-BC4-BD4*(14/46)</f>
        <v>0</v>
      </c>
      <c r="BF4" s="148">
        <f t="shared" ref="BF4:BF13" si="1">AZ4-BA4-BB4*(28/44)-BC4-BD4*(14/46)</f>
        <v>0</v>
      </c>
      <c r="BG4" s="106">
        <f t="shared" ref="BG4:BG13" si="2">(BE4+BA4+BC4+BB4*28/44+BD4*14/46)-AY4</f>
        <v>0</v>
      </c>
      <c r="BH4" s="154">
        <f>AG4*AM4+AI4*AQ4+T4*AV4</f>
        <v>0</v>
      </c>
      <c r="BI4" s="154">
        <f>AH4*AM4+AJ4*AQ4+U4*AV4</f>
        <v>0</v>
      </c>
      <c r="BJ4" s="154">
        <f>BI4+(BH4-BI4)*0.1</f>
        <v>0</v>
      </c>
      <c r="BK4" s="159">
        <f>BJ4*F.Emissió!W3</f>
        <v>0</v>
      </c>
      <c r="BL4" s="159">
        <f>BJ4*F.Emissió!AH3</f>
        <v>0</v>
      </c>
      <c r="BM4" s="159">
        <f>BJ4*F.Emissió!AI3</f>
        <v>0</v>
      </c>
      <c r="BN4" s="159">
        <f>BJ4*F.Emissió!AJ3</f>
        <v>0</v>
      </c>
      <c r="BO4" s="100">
        <f t="shared" ref="BO4:BO13" si="3">BH4-BK4-BL4*(28/44)-BM4-BN4*(14/46)</f>
        <v>0</v>
      </c>
      <c r="BP4" s="100">
        <f t="shared" ref="BP4:BP13" si="4">BJ4-BK4-BL4*(28/44)-BM4-BN4*(14/46)</f>
        <v>0</v>
      </c>
      <c r="BQ4" s="143">
        <f t="shared" ref="BQ4:BQ13" si="5">(BO4+BK4+BM4+BL4*28/44+BN4*14/46)-BH4</f>
        <v>0</v>
      </c>
      <c r="BR4" s="97">
        <f>F.Distribució!AD4</f>
        <v>1</v>
      </c>
      <c r="BS4" s="95">
        <f>F.Distribució!AE4</f>
        <v>0</v>
      </c>
      <c r="BT4" s="97">
        <f>F.Distribució!AF4</f>
        <v>1</v>
      </c>
      <c r="BU4" s="96">
        <f>F.Distribució!AG4</f>
        <v>0</v>
      </c>
      <c r="BV4" s="116">
        <f>BE4*BR4+AG4*AN4+AI4*AR4+T4*AW4</f>
        <v>0</v>
      </c>
      <c r="BW4" s="116">
        <f>BF4*BR4+AH4*AN4+AJ4*AR4+U4*AW4</f>
        <v>0</v>
      </c>
      <c r="BX4" s="117">
        <f>BW4*F.Emissió!Z3</f>
        <v>0</v>
      </c>
      <c r="BY4" s="100">
        <f>BV4-BX4</f>
        <v>0</v>
      </c>
      <c r="BZ4" s="101">
        <f>BW4-BX4</f>
        <v>0</v>
      </c>
      <c r="CA4" s="165">
        <f>AI4*AS4+BO4*BT4</f>
        <v>0</v>
      </c>
      <c r="CB4" s="153">
        <f>AJ4*AS4+BP4*BT4</f>
        <v>0</v>
      </c>
      <c r="CC4" s="166">
        <f>CB4*F.Emissió!AC3</f>
        <v>0</v>
      </c>
      <c r="CD4" s="167">
        <f>CA4-CC4</f>
        <v>0</v>
      </c>
      <c r="CE4" s="168">
        <f>CB4-CC4</f>
        <v>0</v>
      </c>
      <c r="CF4" s="171">
        <f>CD4+BY4+N4</f>
        <v>0</v>
      </c>
      <c r="CG4" s="169">
        <f>CE4+BZ4+O4</f>
        <v>0</v>
      </c>
      <c r="CH4" s="165">
        <f>T4*AX4+BO4*BU4+BE4*BS4+AI4*AT4+AG4*AO4</f>
        <v>0</v>
      </c>
      <c r="CI4" s="155">
        <f>U4*AX4+BP4*BU4+BF4*BS4+AJ4*AT4+AH4*AO4</f>
        <v>0</v>
      </c>
      <c r="CJ4" s="159">
        <f>CC4+BX4+BK4+BA4+AE4+AD4+S4+M4</f>
        <v>0</v>
      </c>
      <c r="CK4" s="159">
        <f>(BL4+BB4)*28/44</f>
        <v>0</v>
      </c>
      <c r="CL4" s="159">
        <f>(BM4+BC4)</f>
        <v>0</v>
      </c>
      <c r="CM4" s="164">
        <f t="shared" ref="CM4:CM13" si="6">(BN4+BD4)*14/46</f>
        <v>0</v>
      </c>
      <c r="CN4" s="164">
        <f>SUM(CJ4:CM4)</f>
        <v>0</v>
      </c>
      <c r="CO4" s="164">
        <f>CJ4*17/14</f>
        <v>0</v>
      </c>
      <c r="CP4" s="106">
        <f>(E4+(AF4*C4*J4*W4)-(CH4+CN4+CF4))</f>
        <v>0</v>
      </c>
      <c r="CR4" s="420">
        <f>C4*F.Emissió!AL3</f>
        <v>0</v>
      </c>
      <c r="CS4" s="420">
        <f>C4*F.Emissió!AM3</f>
        <v>0</v>
      </c>
    </row>
    <row r="5" spans="1:97" ht="14.4" hidden="1" customHeight="1" x14ac:dyDescent="0.3">
      <c r="A5" s="6" t="s">
        <v>439</v>
      </c>
      <c r="B5" s="2"/>
      <c r="C5" s="107"/>
      <c r="D5" s="130"/>
      <c r="E5" s="154"/>
      <c r="F5" s="94"/>
      <c r="G5" s="131"/>
      <c r="H5" s="98"/>
      <c r="I5" s="94"/>
      <c r="J5" s="131"/>
      <c r="K5" s="94"/>
      <c r="L5" s="94"/>
      <c r="M5" s="99"/>
      <c r="N5" s="100"/>
      <c r="O5" s="101"/>
      <c r="P5" s="102"/>
      <c r="Q5" s="98"/>
      <c r="R5" s="94"/>
      <c r="S5" s="99"/>
      <c r="T5" s="100"/>
      <c r="U5" s="101"/>
      <c r="V5" s="102"/>
      <c r="W5" s="98"/>
      <c r="X5" s="94"/>
      <c r="Y5" s="94"/>
      <c r="Z5" s="154"/>
      <c r="AA5" s="154"/>
      <c r="AB5" s="156"/>
      <c r="AC5" s="115"/>
      <c r="AD5" s="159"/>
      <c r="AE5" s="159"/>
      <c r="AF5" s="105"/>
      <c r="AG5" s="160"/>
      <c r="AH5" s="160"/>
      <c r="AI5" s="160"/>
      <c r="AJ5" s="160"/>
      <c r="AK5" s="143"/>
      <c r="AL5" s="98"/>
      <c r="AM5" s="94"/>
      <c r="AN5" s="94"/>
      <c r="AO5" s="94"/>
      <c r="AP5" s="98"/>
      <c r="AQ5" s="94"/>
      <c r="AR5" s="94"/>
      <c r="AS5" s="94"/>
      <c r="AT5" s="94"/>
      <c r="AU5" s="98"/>
      <c r="AV5" s="94"/>
      <c r="AW5" s="94"/>
      <c r="AX5" s="131"/>
      <c r="AY5" s="94"/>
      <c r="AZ5" s="94"/>
      <c r="BA5" s="99"/>
      <c r="BB5" s="99"/>
      <c r="BC5" s="99"/>
      <c r="BD5" s="99"/>
      <c r="BE5" s="100"/>
      <c r="BF5" s="101"/>
      <c r="BG5" s="106"/>
      <c r="BH5" s="154"/>
      <c r="BI5" s="154"/>
      <c r="BJ5" s="154"/>
      <c r="BK5" s="159"/>
      <c r="BL5" s="159"/>
      <c r="BM5" s="159"/>
      <c r="BN5" s="159"/>
      <c r="BO5" s="100"/>
      <c r="BP5" s="100"/>
      <c r="BQ5" s="143"/>
      <c r="BR5" s="98"/>
      <c r="BS5" s="94"/>
      <c r="BT5" s="98"/>
      <c r="BU5" s="131"/>
      <c r="BV5" s="116"/>
      <c r="BW5" s="116"/>
      <c r="BX5" s="117"/>
      <c r="BY5" s="100"/>
      <c r="BZ5" s="101"/>
      <c r="CA5" s="163"/>
      <c r="CB5" s="154"/>
      <c r="CC5" s="162"/>
      <c r="CD5" s="160"/>
      <c r="CE5" s="169"/>
      <c r="CF5" s="171"/>
      <c r="CG5" s="169"/>
      <c r="CH5" s="163"/>
      <c r="CI5" s="156"/>
      <c r="CJ5" s="159"/>
      <c r="CK5" s="159"/>
      <c r="CL5" s="159"/>
      <c r="CM5" s="164"/>
      <c r="CN5" s="164"/>
      <c r="CO5" s="164"/>
      <c r="CP5" s="106"/>
      <c r="CR5" s="421"/>
      <c r="CS5" s="421"/>
    </row>
    <row r="6" spans="1:97" ht="14.4" hidden="1" customHeight="1" x14ac:dyDescent="0.3">
      <c r="A6" s="6" t="s">
        <v>439</v>
      </c>
      <c r="B6" s="2"/>
      <c r="C6" s="107"/>
      <c r="D6" s="130"/>
      <c r="E6" s="154"/>
      <c r="F6" s="94"/>
      <c r="G6" s="131"/>
      <c r="H6" s="98"/>
      <c r="I6" s="94"/>
      <c r="J6" s="131"/>
      <c r="K6" s="94"/>
      <c r="L6" s="94"/>
      <c r="M6" s="99"/>
      <c r="N6" s="100"/>
      <c r="O6" s="101"/>
      <c r="P6" s="102"/>
      <c r="Q6" s="98"/>
      <c r="R6" s="94"/>
      <c r="S6" s="99"/>
      <c r="T6" s="100"/>
      <c r="U6" s="101"/>
      <c r="V6" s="102"/>
      <c r="W6" s="98"/>
      <c r="X6" s="94"/>
      <c r="Y6" s="94"/>
      <c r="Z6" s="154"/>
      <c r="AA6" s="154"/>
      <c r="AB6" s="156"/>
      <c r="AC6" s="115"/>
      <c r="AD6" s="159"/>
      <c r="AE6" s="159"/>
      <c r="AF6" s="105"/>
      <c r="AG6" s="160"/>
      <c r="AH6" s="160"/>
      <c r="AI6" s="160"/>
      <c r="AJ6" s="160"/>
      <c r="AK6" s="143"/>
      <c r="AL6" s="98"/>
      <c r="AM6" s="94"/>
      <c r="AN6" s="94"/>
      <c r="AO6" s="94"/>
      <c r="AP6" s="98"/>
      <c r="AQ6" s="94"/>
      <c r="AR6" s="94"/>
      <c r="AS6" s="94"/>
      <c r="AT6" s="94"/>
      <c r="AU6" s="98"/>
      <c r="AV6" s="94"/>
      <c r="AW6" s="94"/>
      <c r="AX6" s="131"/>
      <c r="AY6" s="94"/>
      <c r="AZ6" s="94"/>
      <c r="BA6" s="99"/>
      <c r="BB6" s="99"/>
      <c r="BC6" s="99"/>
      <c r="BD6" s="99"/>
      <c r="BE6" s="100"/>
      <c r="BF6" s="101"/>
      <c r="BG6" s="106"/>
      <c r="BH6" s="154"/>
      <c r="BI6" s="154"/>
      <c r="BJ6" s="154"/>
      <c r="BK6" s="159"/>
      <c r="BL6" s="159"/>
      <c r="BM6" s="159"/>
      <c r="BN6" s="159"/>
      <c r="BO6" s="100"/>
      <c r="BP6" s="100"/>
      <c r="BQ6" s="143"/>
      <c r="BR6" s="98"/>
      <c r="BS6" s="94"/>
      <c r="BT6" s="98"/>
      <c r="BU6" s="131"/>
      <c r="BV6" s="116"/>
      <c r="BW6" s="116"/>
      <c r="BX6" s="117"/>
      <c r="BY6" s="100"/>
      <c r="BZ6" s="101"/>
      <c r="CA6" s="163"/>
      <c r="CB6" s="154"/>
      <c r="CC6" s="162"/>
      <c r="CD6" s="160"/>
      <c r="CE6" s="169"/>
      <c r="CF6" s="171"/>
      <c r="CG6" s="169"/>
      <c r="CH6" s="163"/>
      <c r="CI6" s="156"/>
      <c r="CJ6" s="159"/>
      <c r="CK6" s="159"/>
      <c r="CL6" s="159"/>
      <c r="CM6" s="164"/>
      <c r="CN6" s="164"/>
      <c r="CO6" s="164"/>
      <c r="CP6" s="106"/>
      <c r="CR6" s="421"/>
      <c r="CS6" s="421"/>
    </row>
    <row r="7" spans="1:97" ht="13.95" x14ac:dyDescent="0.3">
      <c r="A7" s="6" t="s">
        <v>439</v>
      </c>
      <c r="B7" s="285" t="s">
        <v>218</v>
      </c>
      <c r="C7" s="107">
        <f>Dades!E27</f>
        <v>0</v>
      </c>
      <c r="D7" s="357">
        <v>6.59</v>
      </c>
      <c r="E7" s="154">
        <f t="shared" ref="E7:E13" si="7">C7*D7</f>
        <v>0</v>
      </c>
      <c r="F7" s="94">
        <v>0.65280000000000005</v>
      </c>
      <c r="G7" s="131">
        <f t="shared" ref="G7:G13" si="8">E7*F7</f>
        <v>0</v>
      </c>
      <c r="H7" s="98">
        <f>F.Distribució!E7</f>
        <v>0</v>
      </c>
      <c r="I7" s="94">
        <f>F.Distribució!F7</f>
        <v>0</v>
      </c>
      <c r="J7" s="131">
        <f>F.Distribució!G7</f>
        <v>1</v>
      </c>
      <c r="K7" s="94">
        <f t="shared" ref="K7:K13" si="9">E7*H7</f>
        <v>0</v>
      </c>
      <c r="L7" s="94">
        <f t="shared" ref="L7:L13" si="10">G7*H7</f>
        <v>0</v>
      </c>
      <c r="M7" s="99">
        <f>L7*F.Emissió!F6</f>
        <v>0</v>
      </c>
      <c r="N7" s="100">
        <f t="shared" ref="N7:N13" si="11">K7-M7</f>
        <v>0</v>
      </c>
      <c r="O7" s="101">
        <f t="shared" ref="O7:O13" si="12">L7-M7</f>
        <v>0</v>
      </c>
      <c r="P7" s="102">
        <f>(H7*G7)-(M7+O7)</f>
        <v>0</v>
      </c>
      <c r="Q7" s="98">
        <f t="shared" ref="Q7:Q13" si="13">E7*I7</f>
        <v>0</v>
      </c>
      <c r="R7" s="94">
        <f t="shared" ref="R7:R13" si="14">G7*I7</f>
        <v>0</v>
      </c>
      <c r="S7" s="99">
        <f>R7*F.Emissió!I6</f>
        <v>0</v>
      </c>
      <c r="T7" s="100">
        <f t="shared" ref="T7:T13" si="15">Q7-S7</f>
        <v>0</v>
      </c>
      <c r="U7" s="101">
        <f t="shared" ref="U7:U13" si="16">R7-S7</f>
        <v>0</v>
      </c>
      <c r="V7" s="102">
        <f>T7+S7+N7+M7-(E7*H7+E7*I7)</f>
        <v>0</v>
      </c>
      <c r="W7" s="98">
        <f>F.Distribució!H7</f>
        <v>0</v>
      </c>
      <c r="X7" s="94">
        <f>F.Distribució!I7</f>
        <v>1</v>
      </c>
      <c r="Y7" s="94">
        <f t="shared" ref="Y7:Y13" si="17">E7*J7*W7</f>
        <v>0</v>
      </c>
      <c r="Z7" s="154">
        <f t="shared" ref="Z7:Z13" si="18">E7*J7*X7</f>
        <v>0</v>
      </c>
      <c r="AA7" s="154">
        <f t="shared" ref="AA7:AA13" si="19">G7*J7*W7</f>
        <v>0</v>
      </c>
      <c r="AB7" s="156">
        <f t="shared" ref="AB7:AB13" si="20">G7*J7*X7</f>
        <v>0</v>
      </c>
      <c r="AC7" s="115">
        <f t="shared" ref="AC7:AC13" si="21">(AA7+AB7)-G7*J7</f>
        <v>0</v>
      </c>
      <c r="AD7" s="159">
        <f>AA7*F.Emissió!M6</f>
        <v>0</v>
      </c>
      <c r="AE7" s="159">
        <f>AB7*F.Emissió!Q6</f>
        <v>0</v>
      </c>
      <c r="AF7" s="105">
        <f>F.Distribució!J7</f>
        <v>0</v>
      </c>
      <c r="AG7" s="160">
        <f t="shared" ref="AG7:AG13" si="22">(C7*AF7*J7*W7)+Y7-AD7</f>
        <v>0</v>
      </c>
      <c r="AH7" s="160">
        <f t="shared" ref="AH7:AH13" si="23">(AA7-AD7)*(1-0.0067)</f>
        <v>0</v>
      </c>
      <c r="AI7" s="160">
        <f t="shared" ref="AI7:AI13" si="24">Z7-AE7</f>
        <v>0</v>
      </c>
      <c r="AJ7" s="160">
        <f t="shared" ref="AJ7:AJ13" si="25">AB7-AE7</f>
        <v>0</v>
      </c>
      <c r="AK7" s="143">
        <f t="shared" ref="AK7:AK13" si="26">(AG7+AI7+T7+N7)+(M7+S7+AD7+AE7)-(E7+AF7*C7*J7*W7)</f>
        <v>0</v>
      </c>
      <c r="AL7" s="98">
        <f>F.Distribució!L7</f>
        <v>0</v>
      </c>
      <c r="AM7" s="94">
        <f>F.Distribució!M7</f>
        <v>0</v>
      </c>
      <c r="AN7" s="94">
        <f>F.Distribució!N7</f>
        <v>0</v>
      </c>
      <c r="AO7" s="94">
        <f>F.Distribució!O7</f>
        <v>0</v>
      </c>
      <c r="AP7" s="98">
        <f>F.Distribució!R7</f>
        <v>0</v>
      </c>
      <c r="AQ7" s="94">
        <f>F.Distribució!S7</f>
        <v>1</v>
      </c>
      <c r="AR7" s="94">
        <f>F.Distribució!U7</f>
        <v>0</v>
      </c>
      <c r="AS7" s="94">
        <f>F.Distribució!V7</f>
        <v>0</v>
      </c>
      <c r="AT7" s="94">
        <f>F.Distribució!W7</f>
        <v>0</v>
      </c>
      <c r="AU7" s="98">
        <f>F.Distribució!Y7</f>
        <v>0</v>
      </c>
      <c r="AV7" s="94">
        <f>F.Distribució!Z7</f>
        <v>0</v>
      </c>
      <c r="AW7" s="94">
        <f>F.Distribució!AA7</f>
        <v>0</v>
      </c>
      <c r="AX7" s="131">
        <f>F.Distribució!AB7</f>
        <v>0</v>
      </c>
      <c r="AY7" s="94">
        <f t="shared" ref="AY7:AY13" si="27">AG7*AL7+T7*AU7+AI7*AP7</f>
        <v>0</v>
      </c>
      <c r="AZ7" s="94">
        <f t="shared" ref="AZ7:AZ13" si="28">AH7*AL7+AJ7*AP7+U7*AU7</f>
        <v>0</v>
      </c>
      <c r="BA7" s="99">
        <f>AZ7*F.Emissió!T6</f>
        <v>0</v>
      </c>
      <c r="BB7" s="99">
        <f>(AZ7*F.Emissió!AE6)</f>
        <v>0</v>
      </c>
      <c r="BC7" s="99">
        <f>(AZ7*F.Emissió!AF6)</f>
        <v>0</v>
      </c>
      <c r="BD7" s="99">
        <f>(AZ7*F.Emissió!AG6)</f>
        <v>0</v>
      </c>
      <c r="BE7" s="100">
        <f t="shared" si="0"/>
        <v>0</v>
      </c>
      <c r="BF7" s="101">
        <f t="shared" si="1"/>
        <v>0</v>
      </c>
      <c r="BG7" s="106">
        <f t="shared" si="2"/>
        <v>0</v>
      </c>
      <c r="BH7" s="154">
        <f t="shared" ref="BH7:BH13" si="29">AG7*AM7+AI7*AQ7+T7*AV7</f>
        <v>0</v>
      </c>
      <c r="BI7" s="154">
        <f t="shared" ref="BI7:BI13" si="30">AH7*AM7+AJ7*AQ7+U7*AV7</f>
        <v>0</v>
      </c>
      <c r="BJ7" s="154">
        <f t="shared" ref="BJ7:BJ13" si="31">BI7+(BH7-BI7)*0.1</f>
        <v>0</v>
      </c>
      <c r="BK7" s="159">
        <f>BJ7*F.Emissió!W6</f>
        <v>0</v>
      </c>
      <c r="BL7" s="159">
        <f>BJ7*F.Emissió!AH6</f>
        <v>0</v>
      </c>
      <c r="BM7" s="159">
        <f>BJ7*F.Emissió!AI6</f>
        <v>0</v>
      </c>
      <c r="BN7" s="159">
        <f>BJ7*F.Emissió!AJ6</f>
        <v>0</v>
      </c>
      <c r="BO7" s="100">
        <f t="shared" si="3"/>
        <v>0</v>
      </c>
      <c r="BP7" s="100">
        <f t="shared" si="4"/>
        <v>0</v>
      </c>
      <c r="BQ7" s="143">
        <f t="shared" si="5"/>
        <v>0</v>
      </c>
      <c r="BR7" s="98">
        <f>F.Distribució!AD7</f>
        <v>1</v>
      </c>
      <c r="BS7" s="94">
        <f>F.Distribució!AE7</f>
        <v>0</v>
      </c>
      <c r="BT7" s="98">
        <f>F.Distribució!AF7</f>
        <v>1</v>
      </c>
      <c r="BU7" s="131">
        <f>F.Distribució!AG7</f>
        <v>0</v>
      </c>
      <c r="BV7" s="116">
        <f>BE7*BR7+AG7*AN7+AI7*AR7+T7*AW7</f>
        <v>0</v>
      </c>
      <c r="BW7" s="116">
        <f t="shared" ref="BW7:BW13" si="32">BF7*BR7+AH7*AN7+AJ7*AR7+U7*AW7</f>
        <v>0</v>
      </c>
      <c r="BX7" s="117">
        <f>BW7*F.Emissió!Z6</f>
        <v>0</v>
      </c>
      <c r="BY7" s="100">
        <f t="shared" ref="BY7:BY13" si="33">BV7-BX7</f>
        <v>0</v>
      </c>
      <c r="BZ7" s="101">
        <f t="shared" ref="BZ7:BZ13" si="34">BW7-BX7</f>
        <v>0</v>
      </c>
      <c r="CA7" s="163">
        <f t="shared" ref="CA7:CA13" si="35">AI7*AS7+BO7*BT7</f>
        <v>0</v>
      </c>
      <c r="CB7" s="154">
        <f t="shared" ref="CB7:CB13" si="36">AJ7*AS7+BP7*BT7</f>
        <v>0</v>
      </c>
      <c r="CC7" s="162">
        <f>CB7*F.Emissió!AC6</f>
        <v>0</v>
      </c>
      <c r="CD7" s="160">
        <f t="shared" ref="CD7:CD13" si="37">CA7-CC7</f>
        <v>0</v>
      </c>
      <c r="CE7" s="169">
        <f t="shared" ref="CE7:CE13" si="38">CB7-CC7</f>
        <v>0</v>
      </c>
      <c r="CF7" s="171">
        <f t="shared" ref="CF7:CG18" si="39">CD7+BY7+N7</f>
        <v>0</v>
      </c>
      <c r="CG7" s="169">
        <f t="shared" ref="CG7:CG13" si="40">CE7+BZ7+O7</f>
        <v>0</v>
      </c>
      <c r="CH7" s="163">
        <f t="shared" ref="CH7:CH13" si="41">T7*AX7+BO7*BU7+BE7*BS7+AI7*AT7+AG7*AO7</f>
        <v>0</v>
      </c>
      <c r="CI7" s="156">
        <f t="shared" ref="CI7:CI13" si="42">U7*AX7+BP7*BU7+BF7*BS7+AJ7*AT7+AH7*AO7</f>
        <v>0</v>
      </c>
      <c r="CJ7" s="159">
        <f t="shared" ref="CJ7:CJ13" si="43">CC7+BX7+BK7+BA7+AE7+AD7+S7+M7</f>
        <v>0</v>
      </c>
      <c r="CK7" s="159">
        <f t="shared" ref="CK7:CK13" si="44">(BL7+BB7)*28/44</f>
        <v>0</v>
      </c>
      <c r="CL7" s="159">
        <f t="shared" ref="CL7:CL13" si="45">(BM7+BC7)</f>
        <v>0</v>
      </c>
      <c r="CM7" s="164">
        <f t="shared" si="6"/>
        <v>0</v>
      </c>
      <c r="CN7" s="164">
        <f t="shared" ref="CN7:CN18" si="46">SUM(CJ7:CM7)</f>
        <v>0</v>
      </c>
      <c r="CO7" s="164">
        <f t="shared" ref="CO7:CO13" si="47">CJ7*17/14</f>
        <v>0</v>
      </c>
      <c r="CP7" s="106">
        <f t="shared" ref="CP7:CP13" si="48">(E7+(AF7*C7*J7*W7)-(CH7+CN7+CF7))</f>
        <v>0</v>
      </c>
      <c r="CR7" s="421">
        <f>C7*F.Emissió!AL6</f>
        <v>0</v>
      </c>
      <c r="CS7" s="421">
        <f>C7*F.Emissió!AM6</f>
        <v>0</v>
      </c>
    </row>
    <row r="8" spans="1:97" ht="14.4" hidden="1" customHeight="1" x14ac:dyDescent="0.3">
      <c r="A8" s="6" t="s">
        <v>439</v>
      </c>
      <c r="B8" s="2"/>
      <c r="C8" s="107"/>
      <c r="D8" s="130"/>
      <c r="E8" s="154"/>
      <c r="F8" s="94"/>
      <c r="G8" s="131"/>
      <c r="H8" s="98"/>
      <c r="I8" s="94"/>
      <c r="J8" s="131"/>
      <c r="K8" s="94"/>
      <c r="L8" s="94"/>
      <c r="M8" s="99"/>
      <c r="N8" s="100"/>
      <c r="O8" s="101"/>
      <c r="P8" s="102"/>
      <c r="Q8" s="98"/>
      <c r="R8" s="94"/>
      <c r="S8" s="99"/>
      <c r="T8" s="100"/>
      <c r="U8" s="101"/>
      <c r="V8" s="102"/>
      <c r="W8" s="98"/>
      <c r="X8" s="94"/>
      <c r="Y8" s="94"/>
      <c r="Z8" s="154"/>
      <c r="AA8" s="154"/>
      <c r="AB8" s="156"/>
      <c r="AC8" s="115"/>
      <c r="AD8" s="159"/>
      <c r="AE8" s="159"/>
      <c r="AF8" s="105"/>
      <c r="AG8" s="160"/>
      <c r="AH8" s="160"/>
      <c r="AI8" s="160"/>
      <c r="AJ8" s="160"/>
      <c r="AK8" s="143"/>
      <c r="AL8" s="98"/>
      <c r="AM8" s="94"/>
      <c r="AN8" s="94"/>
      <c r="AO8" s="94"/>
      <c r="AP8" s="98"/>
      <c r="AQ8" s="94"/>
      <c r="AR8" s="94"/>
      <c r="AS8" s="94"/>
      <c r="AT8" s="94"/>
      <c r="AU8" s="98"/>
      <c r="AV8" s="94"/>
      <c r="AW8" s="94"/>
      <c r="AX8" s="131"/>
      <c r="AY8" s="94"/>
      <c r="AZ8" s="94"/>
      <c r="BA8" s="99"/>
      <c r="BB8" s="99"/>
      <c r="BC8" s="99"/>
      <c r="BD8" s="99"/>
      <c r="BE8" s="100"/>
      <c r="BF8" s="101"/>
      <c r="BG8" s="106"/>
      <c r="BH8" s="154"/>
      <c r="BI8" s="154"/>
      <c r="BJ8" s="154"/>
      <c r="BK8" s="159"/>
      <c r="BL8" s="159"/>
      <c r="BM8" s="159"/>
      <c r="BN8" s="159"/>
      <c r="BO8" s="100"/>
      <c r="BP8" s="100"/>
      <c r="BQ8" s="143"/>
      <c r="BR8" s="98"/>
      <c r="BS8" s="94"/>
      <c r="BT8" s="98"/>
      <c r="BU8" s="131"/>
      <c r="BV8" s="116"/>
      <c r="BW8" s="116"/>
      <c r="BX8" s="117"/>
      <c r="BY8" s="100"/>
      <c r="BZ8" s="101"/>
      <c r="CA8" s="163"/>
      <c r="CB8" s="154"/>
      <c r="CC8" s="162"/>
      <c r="CD8" s="160"/>
      <c r="CE8" s="169"/>
      <c r="CF8" s="171"/>
      <c r="CG8" s="169"/>
      <c r="CH8" s="163"/>
      <c r="CI8" s="156"/>
      <c r="CJ8" s="159"/>
      <c r="CK8" s="159"/>
      <c r="CL8" s="159"/>
      <c r="CM8" s="164"/>
      <c r="CN8" s="164"/>
      <c r="CO8" s="164"/>
      <c r="CP8" s="106"/>
      <c r="CR8" s="421"/>
      <c r="CS8" s="421"/>
    </row>
    <row r="9" spans="1:97" ht="14.4" hidden="1" customHeight="1" x14ac:dyDescent="0.3">
      <c r="A9" s="6" t="s">
        <v>439</v>
      </c>
      <c r="B9" s="2"/>
      <c r="C9" s="107"/>
      <c r="D9" s="130"/>
      <c r="E9" s="154"/>
      <c r="F9" s="94"/>
      <c r="G9" s="131"/>
      <c r="H9" s="98"/>
      <c r="I9" s="94"/>
      <c r="J9" s="131"/>
      <c r="K9" s="94"/>
      <c r="L9" s="94"/>
      <c r="M9" s="99"/>
      <c r="N9" s="100"/>
      <c r="O9" s="101"/>
      <c r="P9" s="102"/>
      <c r="Q9" s="98"/>
      <c r="R9" s="94"/>
      <c r="S9" s="99"/>
      <c r="T9" s="100"/>
      <c r="U9" s="101"/>
      <c r="V9" s="102"/>
      <c r="W9" s="98"/>
      <c r="X9" s="94"/>
      <c r="Y9" s="94"/>
      <c r="Z9" s="154"/>
      <c r="AA9" s="154"/>
      <c r="AB9" s="156"/>
      <c r="AC9" s="115"/>
      <c r="AD9" s="159"/>
      <c r="AE9" s="159"/>
      <c r="AF9" s="105"/>
      <c r="AG9" s="160"/>
      <c r="AH9" s="160"/>
      <c r="AI9" s="160"/>
      <c r="AJ9" s="160"/>
      <c r="AK9" s="143"/>
      <c r="AL9" s="98"/>
      <c r="AM9" s="94"/>
      <c r="AN9" s="94"/>
      <c r="AO9" s="94"/>
      <c r="AP9" s="98"/>
      <c r="AQ9" s="94"/>
      <c r="AR9" s="94"/>
      <c r="AS9" s="94"/>
      <c r="AT9" s="94"/>
      <c r="AU9" s="98"/>
      <c r="AV9" s="94"/>
      <c r="AW9" s="94"/>
      <c r="AX9" s="131"/>
      <c r="AY9" s="94"/>
      <c r="AZ9" s="94"/>
      <c r="BA9" s="99"/>
      <c r="BB9" s="99"/>
      <c r="BC9" s="99"/>
      <c r="BD9" s="99"/>
      <c r="BE9" s="100"/>
      <c r="BF9" s="101"/>
      <c r="BG9" s="106"/>
      <c r="BH9" s="154"/>
      <c r="BI9" s="154"/>
      <c r="BJ9" s="154"/>
      <c r="BK9" s="159"/>
      <c r="BL9" s="159"/>
      <c r="BM9" s="159"/>
      <c r="BN9" s="159"/>
      <c r="BO9" s="100"/>
      <c r="BP9" s="100"/>
      <c r="BQ9" s="143"/>
      <c r="BR9" s="98"/>
      <c r="BS9" s="94"/>
      <c r="BT9" s="98"/>
      <c r="BU9" s="131"/>
      <c r="BV9" s="116"/>
      <c r="BW9" s="116"/>
      <c r="BX9" s="117"/>
      <c r="BY9" s="100"/>
      <c r="BZ9" s="101"/>
      <c r="CA9" s="163"/>
      <c r="CB9" s="154"/>
      <c r="CC9" s="162"/>
      <c r="CD9" s="160"/>
      <c r="CE9" s="169"/>
      <c r="CF9" s="171"/>
      <c r="CG9" s="169"/>
      <c r="CH9" s="163"/>
      <c r="CI9" s="156"/>
      <c r="CJ9" s="159"/>
      <c r="CK9" s="159"/>
      <c r="CL9" s="159"/>
      <c r="CM9" s="164"/>
      <c r="CN9" s="164"/>
      <c r="CO9" s="164"/>
      <c r="CP9" s="106"/>
      <c r="CR9" s="421"/>
      <c r="CS9" s="421"/>
    </row>
    <row r="10" spans="1:97" ht="13.95" x14ac:dyDescent="0.3">
      <c r="A10" s="6" t="s">
        <v>439</v>
      </c>
      <c r="B10" s="285" t="s">
        <v>217</v>
      </c>
      <c r="C10" s="107">
        <f>Dades!E29</f>
        <v>0</v>
      </c>
      <c r="D10" s="130">
        <v>22.36</v>
      </c>
      <c r="E10" s="154">
        <f t="shared" si="7"/>
        <v>0</v>
      </c>
      <c r="F10" s="94">
        <v>0.74880000000000002</v>
      </c>
      <c r="G10" s="131">
        <f t="shared" si="8"/>
        <v>0</v>
      </c>
      <c r="H10" s="98">
        <f>F.Distribució!E10</f>
        <v>0</v>
      </c>
      <c r="I10" s="94">
        <f>F.Distribució!F10</f>
        <v>0</v>
      </c>
      <c r="J10" s="131">
        <f>F.Distribució!G10</f>
        <v>1</v>
      </c>
      <c r="K10" s="94">
        <f t="shared" si="9"/>
        <v>0</v>
      </c>
      <c r="L10" s="94">
        <f t="shared" si="10"/>
        <v>0</v>
      </c>
      <c r="M10" s="99">
        <f>L10*F.Emissió!F9</f>
        <v>0</v>
      </c>
      <c r="N10" s="100">
        <f t="shared" si="11"/>
        <v>0</v>
      </c>
      <c r="O10" s="101">
        <f t="shared" si="12"/>
        <v>0</v>
      </c>
      <c r="P10" s="102">
        <f t="shared" ref="P10:P13" si="49">(H10*G10)-(M10+O10)</f>
        <v>0</v>
      </c>
      <c r="Q10" s="98">
        <f t="shared" si="13"/>
        <v>0</v>
      </c>
      <c r="R10" s="94">
        <f t="shared" si="14"/>
        <v>0</v>
      </c>
      <c r="S10" s="99">
        <f>R10*F.Emissió!I9</f>
        <v>0</v>
      </c>
      <c r="T10" s="100">
        <f t="shared" si="15"/>
        <v>0</v>
      </c>
      <c r="U10" s="101">
        <f t="shared" si="16"/>
        <v>0</v>
      </c>
      <c r="V10" s="102">
        <f t="shared" ref="V10:V13" si="50">T10+S10+N10+M10-(E10*H10+E10*I10)</f>
        <v>0</v>
      </c>
      <c r="W10" s="98">
        <f>F.Distribució!H10</f>
        <v>0</v>
      </c>
      <c r="X10" s="94">
        <f>F.Distribució!I10</f>
        <v>1</v>
      </c>
      <c r="Y10" s="94">
        <f t="shared" si="17"/>
        <v>0</v>
      </c>
      <c r="Z10" s="154">
        <f t="shared" si="18"/>
        <v>0</v>
      </c>
      <c r="AA10" s="154">
        <f t="shared" si="19"/>
        <v>0</v>
      </c>
      <c r="AB10" s="156">
        <f t="shared" si="20"/>
        <v>0</v>
      </c>
      <c r="AC10" s="115">
        <f t="shared" si="21"/>
        <v>0</v>
      </c>
      <c r="AD10" s="159">
        <f>AA10*F.Emissió!M9</f>
        <v>0</v>
      </c>
      <c r="AE10" s="159">
        <f>AB10*F.Emissió!Q9</f>
        <v>0</v>
      </c>
      <c r="AF10" s="105">
        <f>F.Distribució!J10</f>
        <v>0</v>
      </c>
      <c r="AG10" s="160">
        <f t="shared" si="22"/>
        <v>0</v>
      </c>
      <c r="AH10" s="160">
        <f t="shared" si="23"/>
        <v>0</v>
      </c>
      <c r="AI10" s="160">
        <f t="shared" si="24"/>
        <v>0</v>
      </c>
      <c r="AJ10" s="160">
        <f t="shared" si="25"/>
        <v>0</v>
      </c>
      <c r="AK10" s="143">
        <f t="shared" si="26"/>
        <v>0</v>
      </c>
      <c r="AL10" s="98">
        <f>F.Distribució!L10</f>
        <v>0</v>
      </c>
      <c r="AM10" s="94">
        <f>F.Distribució!M10</f>
        <v>0</v>
      </c>
      <c r="AN10" s="94">
        <f>F.Distribució!N10</f>
        <v>0</v>
      </c>
      <c r="AO10" s="94">
        <f>F.Distribució!O10</f>
        <v>0</v>
      </c>
      <c r="AP10" s="98">
        <f>F.Distribució!R10</f>
        <v>0</v>
      </c>
      <c r="AQ10" s="94">
        <f>F.Distribució!S10</f>
        <v>1</v>
      </c>
      <c r="AR10" s="94">
        <f>F.Distribució!U10</f>
        <v>0</v>
      </c>
      <c r="AS10" s="94">
        <f>F.Distribució!V10</f>
        <v>0</v>
      </c>
      <c r="AT10" s="94">
        <f>F.Distribució!W10</f>
        <v>0</v>
      </c>
      <c r="AU10" s="98">
        <f>F.Distribució!Y10</f>
        <v>0</v>
      </c>
      <c r="AV10" s="94">
        <f>F.Distribució!Z10</f>
        <v>0</v>
      </c>
      <c r="AW10" s="94">
        <f>F.Distribució!AA10</f>
        <v>0</v>
      </c>
      <c r="AX10" s="131">
        <f>F.Distribució!AB10</f>
        <v>0</v>
      </c>
      <c r="AY10" s="94">
        <f t="shared" si="27"/>
        <v>0</v>
      </c>
      <c r="AZ10" s="94">
        <f t="shared" si="28"/>
        <v>0</v>
      </c>
      <c r="BA10" s="99">
        <f>AZ10*F.Emissió!T9</f>
        <v>0</v>
      </c>
      <c r="BB10" s="99">
        <f>(AZ10*F.Emissió!AE9)</f>
        <v>0</v>
      </c>
      <c r="BC10" s="99">
        <f>(AZ10*F.Emissió!AF9)</f>
        <v>0</v>
      </c>
      <c r="BD10" s="99">
        <f>(AZ10*F.Emissió!AG9)</f>
        <v>0</v>
      </c>
      <c r="BE10" s="100">
        <f t="shared" si="0"/>
        <v>0</v>
      </c>
      <c r="BF10" s="101">
        <f t="shared" si="1"/>
        <v>0</v>
      </c>
      <c r="BG10" s="106">
        <f t="shared" si="2"/>
        <v>0</v>
      </c>
      <c r="BH10" s="154">
        <f t="shared" si="29"/>
        <v>0</v>
      </c>
      <c r="BI10" s="154">
        <f t="shared" si="30"/>
        <v>0</v>
      </c>
      <c r="BJ10" s="154">
        <f t="shared" si="31"/>
        <v>0</v>
      </c>
      <c r="BK10" s="159">
        <f>BJ10*F.Emissió!W9</f>
        <v>0</v>
      </c>
      <c r="BL10" s="159">
        <f>BJ10*F.Emissió!AH9</f>
        <v>0</v>
      </c>
      <c r="BM10" s="159">
        <f>BJ10*F.Emissió!AI9</f>
        <v>0</v>
      </c>
      <c r="BN10" s="159">
        <f>BJ10*F.Emissió!AJ9</f>
        <v>0</v>
      </c>
      <c r="BO10" s="100">
        <f t="shared" si="3"/>
        <v>0</v>
      </c>
      <c r="BP10" s="100">
        <f t="shared" si="4"/>
        <v>0</v>
      </c>
      <c r="BQ10" s="143">
        <f t="shared" si="5"/>
        <v>0</v>
      </c>
      <c r="BR10" s="98">
        <f>F.Distribució!AD10</f>
        <v>1</v>
      </c>
      <c r="BS10" s="94">
        <f>F.Distribució!AE10</f>
        <v>0</v>
      </c>
      <c r="BT10" s="98">
        <f>F.Distribució!AF10</f>
        <v>1</v>
      </c>
      <c r="BU10" s="131">
        <f>F.Distribució!AG10</f>
        <v>0</v>
      </c>
      <c r="BV10" s="116">
        <f t="shared" ref="BV10:BV13" si="51">BE10*BR10+AG10*AN10+AI10*AR10+T10*AW10</f>
        <v>0</v>
      </c>
      <c r="BW10" s="116">
        <f t="shared" si="32"/>
        <v>0</v>
      </c>
      <c r="BX10" s="117">
        <f>BW10*F.Emissió!Z9</f>
        <v>0</v>
      </c>
      <c r="BY10" s="100">
        <f t="shared" si="33"/>
        <v>0</v>
      </c>
      <c r="BZ10" s="101">
        <f t="shared" si="34"/>
        <v>0</v>
      </c>
      <c r="CA10" s="163">
        <f t="shared" si="35"/>
        <v>0</v>
      </c>
      <c r="CB10" s="154">
        <f t="shared" si="36"/>
        <v>0</v>
      </c>
      <c r="CC10" s="162">
        <f>CB10*F.Emissió!AC9</f>
        <v>0</v>
      </c>
      <c r="CD10" s="160">
        <f t="shared" si="37"/>
        <v>0</v>
      </c>
      <c r="CE10" s="169">
        <f t="shared" si="38"/>
        <v>0</v>
      </c>
      <c r="CF10" s="171">
        <f t="shared" si="39"/>
        <v>0</v>
      </c>
      <c r="CG10" s="169">
        <f t="shared" si="40"/>
        <v>0</v>
      </c>
      <c r="CH10" s="163">
        <f t="shared" si="41"/>
        <v>0</v>
      </c>
      <c r="CI10" s="156">
        <f t="shared" si="42"/>
        <v>0</v>
      </c>
      <c r="CJ10" s="159">
        <f t="shared" si="43"/>
        <v>0</v>
      </c>
      <c r="CK10" s="159">
        <f t="shared" si="44"/>
        <v>0</v>
      </c>
      <c r="CL10" s="159">
        <f t="shared" si="45"/>
        <v>0</v>
      </c>
      <c r="CM10" s="164">
        <f t="shared" si="6"/>
        <v>0</v>
      </c>
      <c r="CN10" s="164">
        <f t="shared" si="46"/>
        <v>0</v>
      </c>
      <c r="CO10" s="164">
        <f t="shared" si="47"/>
        <v>0</v>
      </c>
      <c r="CP10" s="106">
        <f t="shared" si="48"/>
        <v>0</v>
      </c>
      <c r="CR10" s="421">
        <f>C10*F.Emissió!AL9</f>
        <v>0</v>
      </c>
      <c r="CS10" s="421">
        <f>C10*F.Emissió!AM9</f>
        <v>0</v>
      </c>
    </row>
    <row r="11" spans="1:97" x14ac:dyDescent="0.3">
      <c r="A11" s="6" t="s">
        <v>439</v>
      </c>
      <c r="B11" s="285" t="s">
        <v>314</v>
      </c>
      <c r="C11" s="107">
        <f>Dades!E31</f>
        <v>0</v>
      </c>
      <c r="D11" s="130">
        <v>9.0500000000000007</v>
      </c>
      <c r="E11" s="154">
        <f t="shared" si="7"/>
        <v>0</v>
      </c>
      <c r="F11" s="94">
        <v>0.67800000000000005</v>
      </c>
      <c r="G11" s="131">
        <f t="shared" si="8"/>
        <v>0</v>
      </c>
      <c r="H11" s="98">
        <f>F.Distribució!E11</f>
        <v>0</v>
      </c>
      <c r="I11" s="94">
        <f>F.Distribució!F11</f>
        <v>0</v>
      </c>
      <c r="J11" s="131">
        <f>F.Distribució!G11</f>
        <v>1</v>
      </c>
      <c r="K11" s="94">
        <f t="shared" si="9"/>
        <v>0</v>
      </c>
      <c r="L11" s="94">
        <f t="shared" si="10"/>
        <v>0</v>
      </c>
      <c r="M11" s="99">
        <f>L11*F.Emissió!F10</f>
        <v>0</v>
      </c>
      <c r="N11" s="100">
        <f t="shared" si="11"/>
        <v>0</v>
      </c>
      <c r="O11" s="101">
        <f t="shared" si="12"/>
        <v>0</v>
      </c>
      <c r="P11" s="102">
        <f t="shared" si="49"/>
        <v>0</v>
      </c>
      <c r="Q11" s="98">
        <f t="shared" si="13"/>
        <v>0</v>
      </c>
      <c r="R11" s="94">
        <f t="shared" si="14"/>
        <v>0</v>
      </c>
      <c r="S11" s="99">
        <f>R11*F.Emissió!I10</f>
        <v>0</v>
      </c>
      <c r="T11" s="100">
        <f t="shared" si="15"/>
        <v>0</v>
      </c>
      <c r="U11" s="101">
        <f t="shared" si="16"/>
        <v>0</v>
      </c>
      <c r="V11" s="102">
        <f t="shared" si="50"/>
        <v>0</v>
      </c>
      <c r="W11" s="98">
        <f>F.Distribució!H11</f>
        <v>0</v>
      </c>
      <c r="X11" s="94">
        <f>F.Distribució!I11</f>
        <v>1</v>
      </c>
      <c r="Y11" s="94">
        <f t="shared" si="17"/>
        <v>0</v>
      </c>
      <c r="Z11" s="154">
        <f t="shared" si="18"/>
        <v>0</v>
      </c>
      <c r="AA11" s="154">
        <f t="shared" si="19"/>
        <v>0</v>
      </c>
      <c r="AB11" s="156">
        <f t="shared" si="20"/>
        <v>0</v>
      </c>
      <c r="AC11" s="115">
        <f t="shared" si="21"/>
        <v>0</v>
      </c>
      <c r="AD11" s="159">
        <f>AA11*F.Emissió!M10</f>
        <v>0</v>
      </c>
      <c r="AE11" s="159">
        <f>AB11*F.Emissió!Q10</f>
        <v>0</v>
      </c>
      <c r="AF11" s="105">
        <f>F.Distribució!J11</f>
        <v>0</v>
      </c>
      <c r="AG11" s="160">
        <f t="shared" si="22"/>
        <v>0</v>
      </c>
      <c r="AH11" s="160">
        <f t="shared" si="23"/>
        <v>0</v>
      </c>
      <c r="AI11" s="160">
        <f t="shared" si="24"/>
        <v>0</v>
      </c>
      <c r="AJ11" s="160">
        <f t="shared" si="25"/>
        <v>0</v>
      </c>
      <c r="AK11" s="143">
        <f t="shared" si="26"/>
        <v>0</v>
      </c>
      <c r="AL11" s="98">
        <f>F.Distribució!L11</f>
        <v>0</v>
      </c>
      <c r="AM11" s="94">
        <f>F.Distribució!M11</f>
        <v>0</v>
      </c>
      <c r="AN11" s="94">
        <f>F.Distribució!N11</f>
        <v>0</v>
      </c>
      <c r="AO11" s="94">
        <f>F.Distribució!O11</f>
        <v>0</v>
      </c>
      <c r="AP11" s="98">
        <f>F.Distribució!R11</f>
        <v>0</v>
      </c>
      <c r="AQ11" s="94">
        <f>F.Distribució!S11</f>
        <v>1</v>
      </c>
      <c r="AR11" s="94">
        <f>F.Distribució!U11</f>
        <v>0</v>
      </c>
      <c r="AS11" s="94">
        <f>F.Distribució!V11</f>
        <v>0</v>
      </c>
      <c r="AT11" s="94">
        <f>F.Distribució!W11</f>
        <v>0</v>
      </c>
      <c r="AU11" s="98">
        <f>F.Distribució!Y11</f>
        <v>0</v>
      </c>
      <c r="AV11" s="94">
        <f>F.Distribució!Z11</f>
        <v>0</v>
      </c>
      <c r="AW11" s="94">
        <f>F.Distribució!AA11</f>
        <v>0</v>
      </c>
      <c r="AX11" s="131">
        <f>F.Distribució!AB11</f>
        <v>0</v>
      </c>
      <c r="AY11" s="94">
        <f t="shared" si="27"/>
        <v>0</v>
      </c>
      <c r="AZ11" s="94">
        <f t="shared" si="28"/>
        <v>0</v>
      </c>
      <c r="BA11" s="99">
        <f>AZ11*F.Emissió!T10</f>
        <v>0</v>
      </c>
      <c r="BB11" s="99">
        <f>(AZ11*F.Emissió!AE10)</f>
        <v>0</v>
      </c>
      <c r="BC11" s="99">
        <f>(AZ11*F.Emissió!AF10)</f>
        <v>0</v>
      </c>
      <c r="BD11" s="99">
        <f>(AZ11*F.Emissió!AG10)</f>
        <v>0</v>
      </c>
      <c r="BE11" s="100">
        <f t="shared" si="0"/>
        <v>0</v>
      </c>
      <c r="BF11" s="101">
        <f t="shared" si="1"/>
        <v>0</v>
      </c>
      <c r="BG11" s="106">
        <f t="shared" si="2"/>
        <v>0</v>
      </c>
      <c r="BH11" s="154">
        <f t="shared" si="29"/>
        <v>0</v>
      </c>
      <c r="BI11" s="154">
        <f t="shared" si="30"/>
        <v>0</v>
      </c>
      <c r="BJ11" s="154">
        <f t="shared" si="31"/>
        <v>0</v>
      </c>
      <c r="BK11" s="159">
        <f>BJ11*F.Emissió!W10</f>
        <v>0</v>
      </c>
      <c r="BL11" s="159">
        <f>BJ11*F.Emissió!AH10</f>
        <v>0</v>
      </c>
      <c r="BM11" s="159">
        <f>BJ11*F.Emissió!AI10</f>
        <v>0</v>
      </c>
      <c r="BN11" s="159">
        <f>BJ11*F.Emissió!AJ10</f>
        <v>0</v>
      </c>
      <c r="BO11" s="100">
        <f t="shared" si="3"/>
        <v>0</v>
      </c>
      <c r="BP11" s="100">
        <f t="shared" si="4"/>
        <v>0</v>
      </c>
      <c r="BQ11" s="143">
        <f t="shared" si="5"/>
        <v>0</v>
      </c>
      <c r="BR11" s="98">
        <f>F.Distribució!AD11</f>
        <v>1</v>
      </c>
      <c r="BS11" s="94">
        <f>F.Distribució!AE11</f>
        <v>0</v>
      </c>
      <c r="BT11" s="98">
        <f>F.Distribució!AF11</f>
        <v>1</v>
      </c>
      <c r="BU11" s="131">
        <f>F.Distribució!AG11</f>
        <v>0</v>
      </c>
      <c r="BV11" s="116">
        <f t="shared" si="51"/>
        <v>0</v>
      </c>
      <c r="BW11" s="116">
        <f t="shared" si="32"/>
        <v>0</v>
      </c>
      <c r="BX11" s="117">
        <f>BW11*F.Emissió!Z10</f>
        <v>0</v>
      </c>
      <c r="BY11" s="100">
        <f t="shared" si="33"/>
        <v>0</v>
      </c>
      <c r="BZ11" s="101">
        <f t="shared" si="34"/>
        <v>0</v>
      </c>
      <c r="CA11" s="163">
        <f t="shared" si="35"/>
        <v>0</v>
      </c>
      <c r="CB11" s="154">
        <f t="shared" si="36"/>
        <v>0</v>
      </c>
      <c r="CC11" s="162">
        <f>CB11*F.Emissió!AC10</f>
        <v>0</v>
      </c>
      <c r="CD11" s="160">
        <f t="shared" si="37"/>
        <v>0</v>
      </c>
      <c r="CE11" s="169">
        <f t="shared" si="38"/>
        <v>0</v>
      </c>
      <c r="CF11" s="171">
        <f t="shared" si="39"/>
        <v>0</v>
      </c>
      <c r="CG11" s="169">
        <f t="shared" si="40"/>
        <v>0</v>
      </c>
      <c r="CH11" s="163">
        <f t="shared" si="41"/>
        <v>0</v>
      </c>
      <c r="CI11" s="156">
        <f t="shared" si="42"/>
        <v>0</v>
      </c>
      <c r="CJ11" s="159">
        <f t="shared" si="43"/>
        <v>0</v>
      </c>
      <c r="CK11" s="159">
        <f t="shared" si="44"/>
        <v>0</v>
      </c>
      <c r="CL11" s="159">
        <f t="shared" si="45"/>
        <v>0</v>
      </c>
      <c r="CM11" s="164">
        <f t="shared" si="6"/>
        <v>0</v>
      </c>
      <c r="CN11" s="164">
        <f t="shared" si="46"/>
        <v>0</v>
      </c>
      <c r="CO11" s="164">
        <f t="shared" si="47"/>
        <v>0</v>
      </c>
      <c r="CP11" s="106">
        <f t="shared" si="48"/>
        <v>0</v>
      </c>
      <c r="CR11" s="421">
        <f>C11*F.Emissió!AL10</f>
        <v>0</v>
      </c>
      <c r="CS11" s="421">
        <f>C11*F.Emissió!AM10</f>
        <v>0</v>
      </c>
    </row>
    <row r="12" spans="1:97" ht="14.4" hidden="1" customHeight="1" x14ac:dyDescent="0.3">
      <c r="A12" s="6" t="s">
        <v>439</v>
      </c>
      <c r="B12" s="2"/>
      <c r="C12" s="107"/>
      <c r="D12" s="130"/>
      <c r="E12" s="154"/>
      <c r="F12" s="94"/>
      <c r="G12" s="131"/>
      <c r="H12" s="98"/>
      <c r="I12" s="94"/>
      <c r="J12" s="131"/>
      <c r="K12" s="94"/>
      <c r="L12" s="94"/>
      <c r="M12" s="99"/>
      <c r="N12" s="100"/>
      <c r="O12" s="101"/>
      <c r="P12" s="102"/>
      <c r="Q12" s="98"/>
      <c r="R12" s="94"/>
      <c r="S12" s="99"/>
      <c r="T12" s="100"/>
      <c r="U12" s="101"/>
      <c r="V12" s="102"/>
      <c r="W12" s="98"/>
      <c r="X12" s="94"/>
      <c r="Y12" s="94"/>
      <c r="Z12" s="154"/>
      <c r="AA12" s="154"/>
      <c r="AB12" s="156"/>
      <c r="AC12" s="115"/>
      <c r="AD12" s="159"/>
      <c r="AE12" s="159"/>
      <c r="AF12" s="105"/>
      <c r="AG12" s="160"/>
      <c r="AH12" s="160"/>
      <c r="AI12" s="160"/>
      <c r="AJ12" s="160"/>
      <c r="AK12" s="143"/>
      <c r="AL12" s="98"/>
      <c r="AM12" s="94"/>
      <c r="AN12" s="94"/>
      <c r="AO12" s="94"/>
      <c r="AP12" s="98"/>
      <c r="AQ12" s="94"/>
      <c r="AR12" s="94"/>
      <c r="AS12" s="94"/>
      <c r="AT12" s="94"/>
      <c r="AU12" s="98"/>
      <c r="AV12" s="94"/>
      <c r="AW12" s="94"/>
      <c r="AX12" s="131"/>
      <c r="AY12" s="94"/>
      <c r="AZ12" s="94"/>
      <c r="BA12" s="99"/>
      <c r="BB12" s="99"/>
      <c r="BC12" s="99"/>
      <c r="BD12" s="99"/>
      <c r="BE12" s="100"/>
      <c r="BF12" s="101"/>
      <c r="BG12" s="106"/>
      <c r="BH12" s="154"/>
      <c r="BI12" s="154"/>
      <c r="BJ12" s="154"/>
      <c r="BK12" s="159"/>
      <c r="BL12" s="159"/>
      <c r="BM12" s="159"/>
      <c r="BN12" s="159"/>
      <c r="BO12" s="100"/>
      <c r="BP12" s="100"/>
      <c r="BQ12" s="143"/>
      <c r="BR12" s="98"/>
      <c r="BS12" s="94"/>
      <c r="BT12" s="98"/>
      <c r="BU12" s="131"/>
      <c r="BV12" s="116"/>
      <c r="BW12" s="116"/>
      <c r="BX12" s="117"/>
      <c r="BY12" s="100"/>
      <c r="BZ12" s="101"/>
      <c r="CA12" s="163"/>
      <c r="CB12" s="154"/>
      <c r="CC12" s="162"/>
      <c r="CD12" s="160"/>
      <c r="CE12" s="169"/>
      <c r="CF12" s="171"/>
      <c r="CG12" s="169"/>
      <c r="CH12" s="163"/>
      <c r="CI12" s="156"/>
      <c r="CJ12" s="159"/>
      <c r="CK12" s="159"/>
      <c r="CL12" s="159"/>
      <c r="CM12" s="164"/>
      <c r="CN12" s="164"/>
      <c r="CO12" s="164"/>
      <c r="CP12" s="106"/>
      <c r="CR12" s="421">
        <f>C12*F.Emissió!AL11</f>
        <v>0</v>
      </c>
      <c r="CS12" s="421">
        <f>C12*F.Emissió!AM11</f>
        <v>0</v>
      </c>
    </row>
    <row r="13" spans="1:97" ht="13.95" x14ac:dyDescent="0.3">
      <c r="A13" s="6" t="s">
        <v>439</v>
      </c>
      <c r="B13" s="285" t="s">
        <v>312</v>
      </c>
      <c r="C13" s="107">
        <f>Dades!E33</f>
        <v>0</v>
      </c>
      <c r="D13" s="357">
        <v>18.88</v>
      </c>
      <c r="E13" s="154">
        <f t="shared" si="7"/>
        <v>0</v>
      </c>
      <c r="F13" s="94">
        <v>0.66190000000000004</v>
      </c>
      <c r="G13" s="131">
        <f t="shared" si="8"/>
        <v>0</v>
      </c>
      <c r="H13" s="98">
        <f>F.Distribució!E13</f>
        <v>0</v>
      </c>
      <c r="I13" s="94">
        <f>F.Distribució!F13</f>
        <v>0</v>
      </c>
      <c r="J13" s="131">
        <f>F.Distribució!G13</f>
        <v>1</v>
      </c>
      <c r="K13" s="94">
        <f t="shared" si="9"/>
        <v>0</v>
      </c>
      <c r="L13" s="94">
        <f t="shared" si="10"/>
        <v>0</v>
      </c>
      <c r="M13" s="99">
        <f>L13*F.Emissió!F12</f>
        <v>0</v>
      </c>
      <c r="N13" s="100">
        <f t="shared" si="11"/>
        <v>0</v>
      </c>
      <c r="O13" s="101">
        <f t="shared" si="12"/>
        <v>0</v>
      </c>
      <c r="P13" s="102">
        <f t="shared" si="49"/>
        <v>0</v>
      </c>
      <c r="Q13" s="98">
        <f t="shared" si="13"/>
        <v>0</v>
      </c>
      <c r="R13" s="94">
        <f t="shared" si="14"/>
        <v>0</v>
      </c>
      <c r="S13" s="99">
        <f>R13*F.Emissió!I12</f>
        <v>0</v>
      </c>
      <c r="T13" s="100">
        <f t="shared" si="15"/>
        <v>0</v>
      </c>
      <c r="U13" s="101">
        <f t="shared" si="16"/>
        <v>0</v>
      </c>
      <c r="V13" s="102">
        <f t="shared" si="50"/>
        <v>0</v>
      </c>
      <c r="W13" s="98">
        <f>F.Distribució!H13</f>
        <v>0</v>
      </c>
      <c r="X13" s="94">
        <f>F.Distribució!I13</f>
        <v>1</v>
      </c>
      <c r="Y13" s="94">
        <f t="shared" si="17"/>
        <v>0</v>
      </c>
      <c r="Z13" s="154">
        <f t="shared" si="18"/>
        <v>0</v>
      </c>
      <c r="AA13" s="154">
        <f t="shared" si="19"/>
        <v>0</v>
      </c>
      <c r="AB13" s="156">
        <f t="shared" si="20"/>
        <v>0</v>
      </c>
      <c r="AC13" s="115">
        <f t="shared" si="21"/>
        <v>0</v>
      </c>
      <c r="AD13" s="159">
        <f>AA13*F.Emissió!M12</f>
        <v>0</v>
      </c>
      <c r="AE13" s="159">
        <f>AB13*F.Emissió!Q12</f>
        <v>0</v>
      </c>
      <c r="AF13" s="105">
        <f>F.Distribució!J13</f>
        <v>0</v>
      </c>
      <c r="AG13" s="160">
        <f t="shared" si="22"/>
        <v>0</v>
      </c>
      <c r="AH13" s="160">
        <f t="shared" si="23"/>
        <v>0</v>
      </c>
      <c r="AI13" s="160">
        <f t="shared" si="24"/>
        <v>0</v>
      </c>
      <c r="AJ13" s="160">
        <f t="shared" si="25"/>
        <v>0</v>
      </c>
      <c r="AK13" s="143">
        <f t="shared" si="26"/>
        <v>0</v>
      </c>
      <c r="AL13" s="98">
        <f>F.Distribució!L13</f>
        <v>0</v>
      </c>
      <c r="AM13" s="94">
        <f>F.Distribució!M13</f>
        <v>0</v>
      </c>
      <c r="AN13" s="94">
        <f>F.Distribució!N13</f>
        <v>0</v>
      </c>
      <c r="AO13" s="94">
        <f>F.Distribució!O13</f>
        <v>0</v>
      </c>
      <c r="AP13" s="98">
        <f>F.Distribució!R13</f>
        <v>0</v>
      </c>
      <c r="AQ13" s="94">
        <f>F.Distribució!S13</f>
        <v>1</v>
      </c>
      <c r="AR13" s="94">
        <f>F.Distribució!U13</f>
        <v>0</v>
      </c>
      <c r="AS13" s="94">
        <f>F.Distribució!V13</f>
        <v>0</v>
      </c>
      <c r="AT13" s="94">
        <f>F.Distribució!W13</f>
        <v>0</v>
      </c>
      <c r="AU13" s="98">
        <f>F.Distribució!Y13</f>
        <v>0</v>
      </c>
      <c r="AV13" s="94">
        <f>F.Distribució!Z13</f>
        <v>0</v>
      </c>
      <c r="AW13" s="94">
        <f>F.Distribució!AA13</f>
        <v>0</v>
      </c>
      <c r="AX13" s="131">
        <f>F.Distribució!AB13</f>
        <v>0</v>
      </c>
      <c r="AY13" s="94">
        <f t="shared" si="27"/>
        <v>0</v>
      </c>
      <c r="AZ13" s="94">
        <f t="shared" si="28"/>
        <v>0</v>
      </c>
      <c r="BA13" s="99">
        <f>AZ13*F.Emissió!T12</f>
        <v>0</v>
      </c>
      <c r="BB13" s="99">
        <f>(AZ13*F.Emissió!AE12)</f>
        <v>0</v>
      </c>
      <c r="BC13" s="99">
        <f>(AZ13*F.Emissió!AF12)</f>
        <v>0</v>
      </c>
      <c r="BD13" s="99">
        <f>(AZ13*F.Emissió!AG12)</f>
        <v>0</v>
      </c>
      <c r="BE13" s="100">
        <f t="shared" si="0"/>
        <v>0</v>
      </c>
      <c r="BF13" s="101">
        <f t="shared" si="1"/>
        <v>0</v>
      </c>
      <c r="BG13" s="106">
        <f t="shared" si="2"/>
        <v>0</v>
      </c>
      <c r="BH13" s="154">
        <f t="shared" si="29"/>
        <v>0</v>
      </c>
      <c r="BI13" s="154">
        <f t="shared" si="30"/>
        <v>0</v>
      </c>
      <c r="BJ13" s="154">
        <f t="shared" si="31"/>
        <v>0</v>
      </c>
      <c r="BK13" s="159">
        <f>BJ13*F.Emissió!W12</f>
        <v>0</v>
      </c>
      <c r="BL13" s="159">
        <f>BJ13*F.Emissió!AH12</f>
        <v>0</v>
      </c>
      <c r="BM13" s="159">
        <f>BJ13*F.Emissió!AI12</f>
        <v>0</v>
      </c>
      <c r="BN13" s="159">
        <f>BJ13*F.Emissió!AJ12</f>
        <v>0</v>
      </c>
      <c r="BO13" s="100">
        <f t="shared" si="3"/>
        <v>0</v>
      </c>
      <c r="BP13" s="100">
        <f t="shared" si="4"/>
        <v>0</v>
      </c>
      <c r="BQ13" s="143">
        <f t="shared" si="5"/>
        <v>0</v>
      </c>
      <c r="BR13" s="98">
        <f>F.Distribució!AD13</f>
        <v>1</v>
      </c>
      <c r="BS13" s="94">
        <f>F.Distribució!AE13</f>
        <v>0</v>
      </c>
      <c r="BT13" s="98">
        <f>F.Distribució!AF13</f>
        <v>1</v>
      </c>
      <c r="BU13" s="131">
        <f>F.Distribució!AG13</f>
        <v>0</v>
      </c>
      <c r="BV13" s="116">
        <f t="shared" si="51"/>
        <v>0</v>
      </c>
      <c r="BW13" s="116">
        <f t="shared" si="32"/>
        <v>0</v>
      </c>
      <c r="BX13" s="117">
        <f>BW13*F.Emissió!Z12</f>
        <v>0</v>
      </c>
      <c r="BY13" s="100">
        <f t="shared" si="33"/>
        <v>0</v>
      </c>
      <c r="BZ13" s="101">
        <f t="shared" si="34"/>
        <v>0</v>
      </c>
      <c r="CA13" s="163">
        <f t="shared" si="35"/>
        <v>0</v>
      </c>
      <c r="CB13" s="154">
        <f t="shared" si="36"/>
        <v>0</v>
      </c>
      <c r="CC13" s="162">
        <f>CB13*F.Emissió!AC12</f>
        <v>0</v>
      </c>
      <c r="CD13" s="160">
        <f t="shared" si="37"/>
        <v>0</v>
      </c>
      <c r="CE13" s="169">
        <f t="shared" si="38"/>
        <v>0</v>
      </c>
      <c r="CF13" s="171">
        <f t="shared" si="39"/>
        <v>0</v>
      </c>
      <c r="CG13" s="169">
        <f t="shared" si="40"/>
        <v>0</v>
      </c>
      <c r="CH13" s="163">
        <f t="shared" si="41"/>
        <v>0</v>
      </c>
      <c r="CI13" s="156">
        <f t="shared" si="42"/>
        <v>0</v>
      </c>
      <c r="CJ13" s="159">
        <f t="shared" si="43"/>
        <v>0</v>
      </c>
      <c r="CK13" s="159">
        <f t="shared" si="44"/>
        <v>0</v>
      </c>
      <c r="CL13" s="159">
        <f t="shared" si="45"/>
        <v>0</v>
      </c>
      <c r="CM13" s="164">
        <f t="shared" si="6"/>
        <v>0</v>
      </c>
      <c r="CN13" s="164">
        <f t="shared" si="46"/>
        <v>0</v>
      </c>
      <c r="CO13" s="164">
        <f t="shared" si="47"/>
        <v>0</v>
      </c>
      <c r="CP13" s="265">
        <f t="shared" si="48"/>
        <v>0</v>
      </c>
      <c r="CR13" s="421">
        <f>C13*F.Emissió!AL12</f>
        <v>0</v>
      </c>
      <c r="CS13" s="421">
        <f>C13*F.Emissió!AM12</f>
        <v>0</v>
      </c>
    </row>
    <row r="14" spans="1:97" hidden="1" x14ac:dyDescent="0.3">
      <c r="A14" s="6"/>
      <c r="B14" s="2"/>
      <c r="C14" s="107"/>
      <c r="D14" s="130"/>
      <c r="E14" s="154"/>
      <c r="F14" s="94"/>
      <c r="G14" s="131"/>
      <c r="H14" s="98"/>
      <c r="I14" s="94"/>
      <c r="J14" s="131"/>
      <c r="K14" s="94"/>
      <c r="L14" s="94"/>
      <c r="M14" s="99"/>
      <c r="N14" s="100"/>
      <c r="O14" s="101"/>
      <c r="P14" s="102"/>
      <c r="Q14" s="98"/>
      <c r="R14" s="94"/>
      <c r="S14" s="99"/>
      <c r="T14" s="100"/>
      <c r="U14" s="101"/>
      <c r="V14" s="102"/>
      <c r="W14" s="98"/>
      <c r="X14" s="94"/>
      <c r="Y14" s="94"/>
      <c r="Z14" s="154"/>
      <c r="AA14" s="154"/>
      <c r="AB14" s="156"/>
      <c r="AC14" s="115"/>
      <c r="AD14" s="159"/>
      <c r="AE14" s="159"/>
      <c r="AF14" s="105"/>
      <c r="AG14" s="160"/>
      <c r="AH14" s="160"/>
      <c r="AI14" s="160"/>
      <c r="AJ14" s="160"/>
      <c r="AK14" s="143"/>
      <c r="AL14" s="98"/>
      <c r="AM14" s="94"/>
      <c r="AN14" s="94"/>
      <c r="AO14" s="94"/>
      <c r="AP14" s="98"/>
      <c r="AQ14" s="94"/>
      <c r="AR14" s="94"/>
      <c r="AS14" s="94"/>
      <c r="AT14" s="94"/>
      <c r="AU14" s="98"/>
      <c r="AV14" s="94"/>
      <c r="AW14" s="94"/>
      <c r="AX14" s="131"/>
      <c r="AY14" s="94"/>
      <c r="AZ14" s="94"/>
      <c r="BA14" s="99"/>
      <c r="BB14" s="99"/>
      <c r="BC14" s="99"/>
      <c r="BD14" s="99"/>
      <c r="BE14" s="100"/>
      <c r="BF14" s="101"/>
      <c r="BG14" s="106"/>
      <c r="BH14" s="154"/>
      <c r="BI14" s="154"/>
      <c r="BJ14" s="154"/>
      <c r="BK14" s="159"/>
      <c r="BL14" s="159"/>
      <c r="BM14" s="159"/>
      <c r="BN14" s="159"/>
      <c r="BO14" s="100"/>
      <c r="BP14" s="100"/>
      <c r="BQ14" s="143"/>
      <c r="BR14" s="98"/>
      <c r="BS14" s="94"/>
      <c r="BT14" s="98"/>
      <c r="BU14" s="131"/>
      <c r="BV14" s="116"/>
      <c r="BW14" s="116"/>
      <c r="BX14" s="117"/>
      <c r="BY14" s="100"/>
      <c r="BZ14" s="101"/>
      <c r="CA14" s="163"/>
      <c r="CB14" s="154"/>
      <c r="CC14" s="162"/>
      <c r="CD14" s="160"/>
      <c r="CE14" s="169"/>
      <c r="CF14" s="171"/>
      <c r="CG14" s="169"/>
      <c r="CH14" s="163"/>
      <c r="CI14" s="156"/>
      <c r="CJ14" s="159"/>
      <c r="CK14" s="159"/>
      <c r="CL14" s="159"/>
      <c r="CM14" s="164"/>
      <c r="CN14" s="164"/>
      <c r="CO14" s="164"/>
      <c r="CP14" s="106"/>
    </row>
    <row r="15" spans="1:97" hidden="1" x14ac:dyDescent="0.3">
      <c r="A15" s="6"/>
      <c r="B15" s="2"/>
      <c r="C15" s="107"/>
      <c r="D15" s="130"/>
      <c r="E15" s="154"/>
      <c r="F15" s="94"/>
      <c r="G15" s="131"/>
      <c r="H15" s="98"/>
      <c r="I15" s="94"/>
      <c r="J15" s="131"/>
      <c r="K15" s="94"/>
      <c r="L15" s="94"/>
      <c r="M15" s="99"/>
      <c r="N15" s="100"/>
      <c r="O15" s="101"/>
      <c r="P15" s="102"/>
      <c r="Q15" s="98"/>
      <c r="R15" s="94"/>
      <c r="S15" s="99"/>
      <c r="T15" s="100"/>
      <c r="U15" s="101"/>
      <c r="V15" s="102"/>
      <c r="W15" s="98"/>
      <c r="X15" s="94"/>
      <c r="Y15" s="94"/>
      <c r="Z15" s="154"/>
      <c r="AA15" s="154"/>
      <c r="AB15" s="156"/>
      <c r="AC15" s="115"/>
      <c r="AD15" s="159"/>
      <c r="AE15" s="159"/>
      <c r="AF15" s="105"/>
      <c r="AG15" s="160"/>
      <c r="AH15" s="160"/>
      <c r="AI15" s="160"/>
      <c r="AJ15" s="160"/>
      <c r="AK15" s="143"/>
      <c r="AL15" s="98"/>
      <c r="AM15" s="94"/>
      <c r="AN15" s="94"/>
      <c r="AO15" s="94"/>
      <c r="AP15" s="98"/>
      <c r="AQ15" s="94"/>
      <c r="AR15" s="94"/>
      <c r="AS15" s="94"/>
      <c r="AT15" s="94"/>
      <c r="AU15" s="98"/>
      <c r="AV15" s="94"/>
      <c r="AW15" s="94"/>
      <c r="AX15" s="131"/>
      <c r="AY15" s="94"/>
      <c r="AZ15" s="94"/>
      <c r="BA15" s="99"/>
      <c r="BB15" s="99"/>
      <c r="BC15" s="99"/>
      <c r="BD15" s="99"/>
      <c r="BE15" s="100"/>
      <c r="BF15" s="101"/>
      <c r="BG15" s="106"/>
      <c r="BH15" s="154"/>
      <c r="BI15" s="154"/>
      <c r="BJ15" s="154"/>
      <c r="BK15" s="159"/>
      <c r="BL15" s="159"/>
      <c r="BM15" s="159"/>
      <c r="BN15" s="159"/>
      <c r="BO15" s="100"/>
      <c r="BP15" s="100"/>
      <c r="BQ15" s="143"/>
      <c r="BR15" s="98"/>
      <c r="BS15" s="94"/>
      <c r="BT15" s="98"/>
      <c r="BU15" s="131"/>
      <c r="BV15" s="116"/>
      <c r="BW15" s="116"/>
      <c r="BX15" s="117"/>
      <c r="BY15" s="100"/>
      <c r="BZ15" s="101"/>
      <c r="CA15" s="163"/>
      <c r="CB15" s="154"/>
      <c r="CC15" s="162"/>
      <c r="CD15" s="160"/>
      <c r="CE15" s="169"/>
      <c r="CF15" s="171"/>
      <c r="CG15" s="169"/>
      <c r="CH15" s="163"/>
      <c r="CI15" s="156"/>
      <c r="CJ15" s="159"/>
      <c r="CK15" s="159"/>
      <c r="CL15" s="159"/>
      <c r="CM15" s="164"/>
      <c r="CN15" s="164"/>
      <c r="CO15" s="164"/>
      <c r="CP15" s="106"/>
    </row>
    <row r="16" spans="1:97" hidden="1" x14ac:dyDescent="0.3">
      <c r="A16" s="6"/>
      <c r="B16" s="2"/>
      <c r="C16" s="107"/>
      <c r="D16" s="130"/>
      <c r="E16" s="154"/>
      <c r="F16" s="94"/>
      <c r="G16" s="131"/>
      <c r="H16" s="98"/>
      <c r="I16" s="94"/>
      <c r="J16" s="131"/>
      <c r="K16" s="94"/>
      <c r="L16" s="94"/>
      <c r="M16" s="99"/>
      <c r="N16" s="100"/>
      <c r="O16" s="101"/>
      <c r="P16" s="102"/>
      <c r="Q16" s="98"/>
      <c r="R16" s="94"/>
      <c r="S16" s="99"/>
      <c r="T16" s="100"/>
      <c r="U16" s="101"/>
      <c r="V16" s="102"/>
      <c r="W16" s="98"/>
      <c r="X16" s="94"/>
      <c r="Y16" s="94"/>
      <c r="Z16" s="154"/>
      <c r="AA16" s="154"/>
      <c r="AB16" s="156"/>
      <c r="AC16" s="115"/>
      <c r="AD16" s="159"/>
      <c r="AE16" s="159"/>
      <c r="AF16" s="105"/>
      <c r="AG16" s="160"/>
      <c r="AH16" s="160"/>
      <c r="AI16" s="160"/>
      <c r="AJ16" s="160"/>
      <c r="AK16" s="143"/>
      <c r="AL16" s="98"/>
      <c r="AM16" s="94"/>
      <c r="AN16" s="94"/>
      <c r="AO16" s="94"/>
      <c r="AP16" s="98"/>
      <c r="AQ16" s="94"/>
      <c r="AR16" s="94"/>
      <c r="AS16" s="94"/>
      <c r="AT16" s="94"/>
      <c r="AU16" s="98"/>
      <c r="AV16" s="94"/>
      <c r="AW16" s="94"/>
      <c r="AX16" s="131"/>
      <c r="AY16" s="94"/>
      <c r="AZ16" s="94"/>
      <c r="BA16" s="99"/>
      <c r="BB16" s="99"/>
      <c r="BC16" s="99"/>
      <c r="BD16" s="99"/>
      <c r="BE16" s="100"/>
      <c r="BF16" s="101"/>
      <c r="BG16" s="106"/>
      <c r="BH16" s="154"/>
      <c r="BI16" s="154"/>
      <c r="BJ16" s="154"/>
      <c r="BK16" s="159"/>
      <c r="BL16" s="159"/>
      <c r="BM16" s="159"/>
      <c r="BN16" s="159"/>
      <c r="BO16" s="100"/>
      <c r="BP16" s="100"/>
      <c r="BQ16" s="143"/>
      <c r="BR16" s="98"/>
      <c r="BS16" s="94"/>
      <c r="BT16" s="98"/>
      <c r="BU16" s="131"/>
      <c r="BV16" s="116"/>
      <c r="BW16" s="116"/>
      <c r="BX16" s="117"/>
      <c r="BY16" s="100"/>
      <c r="BZ16" s="101"/>
      <c r="CA16" s="163"/>
      <c r="CB16" s="154"/>
      <c r="CC16" s="162"/>
      <c r="CD16" s="160"/>
      <c r="CE16" s="169"/>
      <c r="CF16" s="171"/>
      <c r="CG16" s="169"/>
      <c r="CH16" s="163"/>
      <c r="CI16" s="156"/>
      <c r="CJ16" s="159"/>
      <c r="CK16" s="159"/>
      <c r="CL16" s="159"/>
      <c r="CM16" s="164"/>
      <c r="CN16" s="164"/>
      <c r="CO16" s="164"/>
      <c r="CP16" s="106"/>
    </row>
    <row r="17" spans="1:97" hidden="1" x14ac:dyDescent="0.3">
      <c r="A17" s="6"/>
      <c r="B17" s="2"/>
      <c r="C17" s="108"/>
      <c r="D17" s="132"/>
      <c r="E17" s="154"/>
      <c r="F17" s="94"/>
      <c r="G17" s="131"/>
      <c r="H17" s="98"/>
      <c r="I17" s="94"/>
      <c r="J17" s="131"/>
      <c r="K17" s="94"/>
      <c r="L17" s="94"/>
      <c r="M17" s="99"/>
      <c r="N17" s="100"/>
      <c r="O17" s="101"/>
      <c r="P17" s="102"/>
      <c r="Q17" s="98"/>
      <c r="R17" s="94"/>
      <c r="S17" s="99"/>
      <c r="T17" s="100"/>
      <c r="U17" s="101"/>
      <c r="V17" s="102"/>
      <c r="W17" s="145"/>
      <c r="X17" s="146"/>
      <c r="Y17" s="146"/>
      <c r="Z17" s="157"/>
      <c r="AA17" s="157"/>
      <c r="AB17" s="158"/>
      <c r="AC17" s="115"/>
      <c r="AD17" s="159"/>
      <c r="AE17" s="159"/>
      <c r="AF17" s="105"/>
      <c r="AG17" s="160"/>
      <c r="AH17" s="160"/>
      <c r="AI17" s="160"/>
      <c r="AJ17" s="160"/>
      <c r="AK17" s="143"/>
      <c r="AL17" s="145"/>
      <c r="AM17" s="146"/>
      <c r="AN17" s="146"/>
      <c r="AO17" s="146"/>
      <c r="AP17" s="145"/>
      <c r="AQ17" s="146"/>
      <c r="AR17" s="146"/>
      <c r="AS17" s="146"/>
      <c r="AT17" s="146"/>
      <c r="AU17" s="145"/>
      <c r="AV17" s="146"/>
      <c r="AW17" s="146"/>
      <c r="AX17" s="147"/>
      <c r="AY17" s="146"/>
      <c r="AZ17" s="146"/>
      <c r="BA17" s="149"/>
      <c r="BB17" s="149"/>
      <c r="BC17" s="149"/>
      <c r="BD17" s="149"/>
      <c r="BE17" s="150"/>
      <c r="BF17" s="151"/>
      <c r="BG17" s="106"/>
      <c r="BH17" s="154"/>
      <c r="BI17" s="154"/>
      <c r="BJ17" s="154"/>
      <c r="BK17" s="159"/>
      <c r="BL17" s="159"/>
      <c r="BM17" s="159"/>
      <c r="BN17" s="159"/>
      <c r="BO17" s="100"/>
      <c r="BP17" s="100"/>
      <c r="BQ17" s="143"/>
      <c r="BR17" s="145"/>
      <c r="BS17" s="146"/>
      <c r="BT17" s="145"/>
      <c r="BU17" s="147"/>
      <c r="BV17" s="116"/>
      <c r="BW17" s="116"/>
      <c r="BX17" s="117"/>
      <c r="BY17" s="100"/>
      <c r="BZ17" s="101"/>
      <c r="CA17" s="163"/>
      <c r="CB17" s="154"/>
      <c r="CC17" s="162"/>
      <c r="CD17" s="160"/>
      <c r="CE17" s="169"/>
      <c r="CF17" s="171"/>
      <c r="CG17" s="169"/>
      <c r="CH17" s="173"/>
      <c r="CI17" s="158"/>
      <c r="CJ17" s="159"/>
      <c r="CK17" s="159"/>
      <c r="CL17" s="159"/>
      <c r="CM17" s="164"/>
      <c r="CN17" s="164"/>
      <c r="CO17" s="164"/>
      <c r="CP17" s="265"/>
    </row>
    <row r="18" spans="1:97" ht="21.75" customHeight="1" x14ac:dyDescent="0.3">
      <c r="A18" s="174" t="s">
        <v>191</v>
      </c>
      <c r="B18" s="176"/>
      <c r="C18" s="175">
        <f>SUM(C4:C17)</f>
        <v>0</v>
      </c>
      <c r="D18" s="242"/>
      <c r="E18" s="241">
        <f>SUM(E4:E17)</f>
        <v>0</v>
      </c>
      <c r="F18" s="242"/>
      <c r="G18" s="177">
        <f>SUM(G4:G17)</f>
        <v>0</v>
      </c>
      <c r="H18" s="243"/>
      <c r="I18" s="244"/>
      <c r="J18" s="245"/>
      <c r="K18" s="178">
        <f>SUM(K4:K17)</f>
        <v>0</v>
      </c>
      <c r="L18" s="178">
        <f>SUM(L4:L17)</f>
        <v>0</v>
      </c>
      <c r="M18" s="179">
        <f>SUM(M4:M17)</f>
        <v>0</v>
      </c>
      <c r="N18" s="180">
        <f>SUM(N4:N17)</f>
        <v>0</v>
      </c>
      <c r="O18" s="180">
        <f>SUM(O4:O17)</f>
        <v>0</v>
      </c>
      <c r="P18" s="246"/>
      <c r="Q18" s="178">
        <f>SUM(Q4:Q17)</f>
        <v>0</v>
      </c>
      <c r="R18" s="178">
        <f>SUM(R4:R17)</f>
        <v>0</v>
      </c>
      <c r="S18" s="179">
        <f>SUM(S4:S17)</f>
        <v>0</v>
      </c>
      <c r="T18" s="180">
        <f>SUM(T4:T17)</f>
        <v>0</v>
      </c>
      <c r="U18" s="180">
        <f>SUM(U4:U17)</f>
        <v>0</v>
      </c>
      <c r="V18" s="249"/>
      <c r="W18" s="247"/>
      <c r="X18" s="248"/>
      <c r="Y18" s="181">
        <f>SUM(Y4:Y17)</f>
        <v>0</v>
      </c>
      <c r="Z18" s="250">
        <f>SUM(Z4:Z17)</f>
        <v>0</v>
      </c>
      <c r="AA18" s="250">
        <f>SUM(AA4:AA17)</f>
        <v>0</v>
      </c>
      <c r="AB18" s="250">
        <f>SUM(AB4:AB17)</f>
        <v>0</v>
      </c>
      <c r="AC18" s="249"/>
      <c r="AD18" s="186">
        <f>SUM(AD4:AD17)</f>
        <v>0</v>
      </c>
      <c r="AE18" s="251">
        <f>SUM(AE4:AE17)</f>
        <v>0</v>
      </c>
      <c r="AF18" s="252"/>
      <c r="AG18" s="253">
        <f>SUM(AG4:AG17)</f>
        <v>0</v>
      </c>
      <c r="AH18" s="253">
        <f>SUM(AH4:AH17)</f>
        <v>0</v>
      </c>
      <c r="AI18" s="253">
        <f t="shared" ref="AI18:AJ18" si="52">SUM(AI4:AI17)</f>
        <v>0</v>
      </c>
      <c r="AJ18" s="253">
        <f t="shared" si="52"/>
        <v>0</v>
      </c>
      <c r="AK18" s="256"/>
      <c r="AL18" s="244"/>
      <c r="AM18" s="244"/>
      <c r="AN18" s="244"/>
      <c r="AO18" s="244"/>
      <c r="AP18" s="244"/>
      <c r="AQ18" s="244"/>
      <c r="AR18" s="244"/>
      <c r="AS18" s="244"/>
      <c r="AT18" s="244"/>
      <c r="AU18" s="244"/>
      <c r="AV18" s="244"/>
      <c r="AW18" s="244"/>
      <c r="AX18" s="245"/>
      <c r="AY18" s="257">
        <f>SUM(AY4:AY17)</f>
        <v>0</v>
      </c>
      <c r="AZ18" s="257">
        <f>SUM(AZ4:AZ17)</f>
        <v>0</v>
      </c>
      <c r="BA18" s="258">
        <f>SUM(BA4:BA17)</f>
        <v>0</v>
      </c>
      <c r="BB18" s="258">
        <f t="shared" ref="BB18:BD18" si="53">SUM(BB4:BB17)</f>
        <v>0</v>
      </c>
      <c r="BC18" s="258">
        <f t="shared" si="53"/>
        <v>0</v>
      </c>
      <c r="BD18" s="258">
        <f t="shared" si="53"/>
        <v>0</v>
      </c>
      <c r="BE18" s="260">
        <f>SUM(BE4:BE17)</f>
        <v>0</v>
      </c>
      <c r="BF18" s="260">
        <f>SUM(BF4:BF17)</f>
        <v>0</v>
      </c>
      <c r="BG18" s="246"/>
      <c r="BH18" s="240">
        <f>SUM(BH4:BH17)</f>
        <v>0</v>
      </c>
      <c r="BI18" s="240">
        <f t="shared" ref="BI18:BJ18" si="54">SUM(BI4:BI17)</f>
        <v>0</v>
      </c>
      <c r="BJ18" s="240">
        <f t="shared" si="54"/>
        <v>0</v>
      </c>
      <c r="BK18" s="259">
        <f>SUM(BK4:BK17)</f>
        <v>0</v>
      </c>
      <c r="BL18" s="259">
        <f t="shared" ref="BL18:BN18" si="55">SUM(BL4:BL17)</f>
        <v>0</v>
      </c>
      <c r="BM18" s="259">
        <f t="shared" si="55"/>
        <v>0</v>
      </c>
      <c r="BN18" s="259">
        <f t="shared" si="55"/>
        <v>0</v>
      </c>
      <c r="BO18" s="253">
        <f>SUM(BO4:BO17)</f>
        <v>0</v>
      </c>
      <c r="BP18" s="253">
        <f>SUM(BP4:BP17)</f>
        <v>0</v>
      </c>
      <c r="BQ18" s="249"/>
      <c r="BR18" s="247"/>
      <c r="BS18" s="247"/>
      <c r="BT18" s="247"/>
      <c r="BU18" s="248"/>
      <c r="BV18" s="183">
        <f t="shared" ref="BV18:CE18" si="56">SUM(BV4:BV17)</f>
        <v>0</v>
      </c>
      <c r="BW18" s="183">
        <f t="shared" si="56"/>
        <v>0</v>
      </c>
      <c r="BX18" s="184">
        <f t="shared" si="56"/>
        <v>0</v>
      </c>
      <c r="BY18" s="180">
        <f t="shared" si="56"/>
        <v>0</v>
      </c>
      <c r="BZ18" s="185">
        <f t="shared" si="56"/>
        <v>0</v>
      </c>
      <c r="CA18" s="261">
        <f t="shared" si="56"/>
        <v>0</v>
      </c>
      <c r="CB18" s="240">
        <f t="shared" si="56"/>
        <v>0</v>
      </c>
      <c r="CC18" s="259">
        <f t="shared" si="56"/>
        <v>0</v>
      </c>
      <c r="CD18" s="253">
        <f t="shared" si="56"/>
        <v>0</v>
      </c>
      <c r="CE18" s="262">
        <f t="shared" si="56"/>
        <v>0</v>
      </c>
      <c r="CF18" s="263">
        <f t="shared" si="39"/>
        <v>0</v>
      </c>
      <c r="CG18" s="262">
        <f t="shared" si="39"/>
        <v>0</v>
      </c>
      <c r="CH18" s="250">
        <f t="shared" ref="CH18:CM18" si="57">SUM(CH4:CH17)</f>
        <v>0</v>
      </c>
      <c r="CI18" s="250">
        <f t="shared" si="57"/>
        <v>0</v>
      </c>
      <c r="CJ18" s="264">
        <f t="shared" si="57"/>
        <v>0</v>
      </c>
      <c r="CK18" s="259">
        <f t="shared" si="57"/>
        <v>0</v>
      </c>
      <c r="CL18" s="259">
        <f t="shared" si="57"/>
        <v>0</v>
      </c>
      <c r="CM18" s="251">
        <f t="shared" si="57"/>
        <v>0</v>
      </c>
      <c r="CN18" s="251">
        <f t="shared" si="46"/>
        <v>0</v>
      </c>
      <c r="CO18" s="251">
        <f>CJ18*17/14</f>
        <v>0</v>
      </c>
      <c r="CP18" s="1"/>
      <c r="CR18" s="423">
        <f>SUM(CR4:CR13)</f>
        <v>0</v>
      </c>
      <c r="CS18" s="422">
        <f>SUM(CS4:CS13)</f>
        <v>0</v>
      </c>
    </row>
    <row r="19" spans="1:97" x14ac:dyDescent="0.3">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61"/>
      <c r="CO19" s="161"/>
      <c r="CP19" s="1"/>
    </row>
    <row r="20" spans="1:97" hidden="1" x14ac:dyDescent="0.3">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row>
    <row r="21" spans="1:97" ht="15" hidden="1" x14ac:dyDescent="0.25">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row>
    <row r="22" spans="1:97" ht="15" hidden="1" x14ac:dyDescent="0.25">
      <c r="C22" s="1"/>
      <c r="D22" s="1"/>
      <c r="E22" s="1"/>
      <c r="F22" s="1"/>
      <c r="G22" s="1"/>
      <c r="H22" s="1"/>
      <c r="I22" s="1"/>
      <c r="J22" s="1"/>
      <c r="K22" s="1"/>
      <c r="L22" s="1"/>
      <c r="M22" s="1"/>
      <c r="N22" s="109"/>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CA22" s="1"/>
      <c r="CB22" s="1"/>
      <c r="CC22" s="1"/>
      <c r="CD22" s="1"/>
    </row>
    <row r="23" spans="1:97" ht="15" hidden="1" x14ac:dyDescent="0.25">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Q23" s="1"/>
      <c r="BR23" s="1"/>
      <c r="BS23" s="1"/>
      <c r="BT23" s="1"/>
      <c r="BU23" s="1"/>
      <c r="BV23" s="1"/>
      <c r="BW23" s="1"/>
      <c r="BX23" s="1"/>
      <c r="CA23" s="1"/>
      <c r="CB23" s="1"/>
      <c r="CC23" s="1"/>
      <c r="CD23" s="1"/>
    </row>
    <row r="24" spans="1:97" ht="15" hidden="1" x14ac:dyDescent="0.25">
      <c r="C24" s="1"/>
      <c r="D24" s="1"/>
      <c r="E24" s="1"/>
      <c r="F24" s="1"/>
      <c r="G24" s="110"/>
      <c r="H24" s="1"/>
      <c r="I24" s="1"/>
      <c r="J24" s="1"/>
      <c r="K24" s="1"/>
      <c r="L24" s="1"/>
      <c r="M24" s="1"/>
      <c r="N24" s="109"/>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G24" s="1"/>
      <c r="BH24" s="1"/>
      <c r="BI24" s="1"/>
      <c r="BJ24" s="1"/>
      <c r="BK24" s="1"/>
      <c r="BL24" s="1"/>
      <c r="BM24" s="1"/>
      <c r="BN24" s="1"/>
      <c r="BQ24" s="1"/>
      <c r="BR24" s="1"/>
      <c r="BS24" s="1"/>
      <c r="BT24" s="1"/>
      <c r="BU24" s="1"/>
      <c r="BV24" s="1"/>
      <c r="BW24" s="1"/>
      <c r="BX24" s="1"/>
      <c r="CA24" s="1"/>
      <c r="CB24" s="1"/>
      <c r="CC24" s="1"/>
      <c r="CD24" s="1"/>
    </row>
    <row r="25" spans="1:97" hidden="1" x14ac:dyDescent="0.3"/>
    <row r="26" spans="1:97" hidden="1" x14ac:dyDescent="0.3"/>
    <row r="27" spans="1:97" hidden="1" x14ac:dyDescent="0.3"/>
    <row r="29" spans="1:97" s="336" customFormat="1" x14ac:dyDescent="0.3">
      <c r="A29" s="335" t="s">
        <v>440</v>
      </c>
    </row>
    <row r="30" spans="1:97" ht="15.6" x14ac:dyDescent="0.3">
      <c r="A30" s="622" t="s">
        <v>53</v>
      </c>
      <c r="B30" s="622" t="s">
        <v>16</v>
      </c>
      <c r="C30" s="624" t="s">
        <v>17</v>
      </c>
      <c r="D30" s="618" t="s">
        <v>52</v>
      </c>
      <c r="E30" s="619"/>
      <c r="F30" s="619"/>
      <c r="G30" s="621"/>
      <c r="H30" s="618" t="s">
        <v>73</v>
      </c>
      <c r="I30" s="619"/>
      <c r="J30" s="621"/>
      <c r="K30" s="618" t="s">
        <v>1</v>
      </c>
      <c r="L30" s="619"/>
      <c r="M30" s="619"/>
      <c r="N30" s="619"/>
      <c r="O30" s="619"/>
      <c r="P30" s="621"/>
      <c r="Q30" s="618" t="s">
        <v>116</v>
      </c>
      <c r="R30" s="619"/>
      <c r="S30" s="619"/>
      <c r="T30" s="619"/>
      <c r="U30" s="619"/>
      <c r="V30" s="621"/>
      <c r="W30" s="618" t="s">
        <v>0</v>
      </c>
      <c r="X30" s="619"/>
      <c r="Y30" s="619"/>
      <c r="Z30" s="619"/>
      <c r="AA30" s="619"/>
      <c r="AB30" s="619"/>
      <c r="AC30" s="619"/>
      <c r="AD30" s="619"/>
      <c r="AE30" s="619"/>
      <c r="AF30" s="618" t="s">
        <v>187</v>
      </c>
      <c r="AG30" s="619"/>
      <c r="AH30" s="619"/>
      <c r="AI30" s="619"/>
      <c r="AJ30" s="619"/>
      <c r="AK30" s="237"/>
      <c r="AL30" s="618" t="s">
        <v>72</v>
      </c>
      <c r="AM30" s="619"/>
      <c r="AN30" s="619"/>
      <c r="AO30" s="619"/>
      <c r="AP30" s="618" t="s">
        <v>74</v>
      </c>
      <c r="AQ30" s="619"/>
      <c r="AR30" s="619"/>
      <c r="AS30" s="619"/>
      <c r="AT30" s="621"/>
      <c r="AU30" s="619" t="s">
        <v>129</v>
      </c>
      <c r="AV30" s="619"/>
      <c r="AW30" s="619"/>
      <c r="AX30" s="621"/>
      <c r="AY30" s="618" t="s">
        <v>140</v>
      </c>
      <c r="AZ30" s="619"/>
      <c r="BA30" s="619"/>
      <c r="BB30" s="619"/>
      <c r="BC30" s="619"/>
      <c r="BD30" s="619"/>
      <c r="BE30" s="619"/>
      <c r="BF30" s="619"/>
      <c r="BG30" s="621"/>
      <c r="BH30" s="618" t="s">
        <v>145</v>
      </c>
      <c r="BI30" s="619"/>
      <c r="BJ30" s="619"/>
      <c r="BK30" s="619"/>
      <c r="BL30" s="619"/>
      <c r="BM30" s="619"/>
      <c r="BN30" s="619"/>
      <c r="BO30" s="619"/>
      <c r="BP30" s="237"/>
      <c r="BQ30" s="237"/>
      <c r="BR30" s="616" t="s">
        <v>148</v>
      </c>
      <c r="BS30" s="620"/>
      <c r="BT30" s="616" t="s">
        <v>149</v>
      </c>
      <c r="BU30" s="617"/>
      <c r="BV30" s="618" t="s">
        <v>150</v>
      </c>
      <c r="BW30" s="619"/>
      <c r="BX30" s="619"/>
      <c r="BY30" s="619"/>
      <c r="BZ30" s="619"/>
      <c r="CA30" s="618" t="s">
        <v>153</v>
      </c>
      <c r="CB30" s="619"/>
      <c r="CC30" s="619"/>
      <c r="CD30" s="619"/>
      <c r="CE30" s="619"/>
      <c r="CF30" s="618" t="s">
        <v>164</v>
      </c>
      <c r="CG30" s="619"/>
      <c r="CH30" s="616" t="s">
        <v>101</v>
      </c>
      <c r="CI30" s="620"/>
      <c r="CJ30" s="119" t="s">
        <v>189</v>
      </c>
      <c r="CK30" s="119" t="s">
        <v>170</v>
      </c>
      <c r="CL30" s="119" t="s">
        <v>169</v>
      </c>
      <c r="CM30" s="119" t="s">
        <v>209</v>
      </c>
      <c r="CN30" s="187" t="s">
        <v>172</v>
      </c>
      <c r="CO30" s="187" t="s">
        <v>171</v>
      </c>
      <c r="CP30" s="266"/>
    </row>
    <row r="31" spans="1:97" ht="15.6" x14ac:dyDescent="0.3">
      <c r="A31" s="622"/>
      <c r="B31" s="622"/>
      <c r="C31" s="625"/>
      <c r="D31" s="238" t="s">
        <v>55</v>
      </c>
      <c r="E31" s="25" t="s">
        <v>56</v>
      </c>
      <c r="F31" s="25" t="s">
        <v>47</v>
      </c>
      <c r="G31" s="30" t="s">
        <v>174</v>
      </c>
      <c r="H31" s="238" t="s">
        <v>20</v>
      </c>
      <c r="I31" s="25" t="s">
        <v>18</v>
      </c>
      <c r="J31" s="30" t="s">
        <v>19</v>
      </c>
      <c r="K31" s="25" t="s">
        <v>21</v>
      </c>
      <c r="L31" s="25" t="s">
        <v>22</v>
      </c>
      <c r="M31" s="27" t="s">
        <v>25</v>
      </c>
      <c r="N31" s="39" t="s">
        <v>49</v>
      </c>
      <c r="O31" s="32" t="s">
        <v>137</v>
      </c>
      <c r="P31" s="28" t="s">
        <v>175</v>
      </c>
      <c r="Q31" s="80" t="s">
        <v>126</v>
      </c>
      <c r="R31" s="26" t="s">
        <v>127</v>
      </c>
      <c r="S31" s="27" t="s">
        <v>125</v>
      </c>
      <c r="T31" s="39" t="s">
        <v>98</v>
      </c>
      <c r="U31" s="32" t="s">
        <v>127</v>
      </c>
      <c r="V31" s="28" t="s">
        <v>54</v>
      </c>
      <c r="W31" s="238" t="s">
        <v>58</v>
      </c>
      <c r="X31" s="25" t="s">
        <v>59</v>
      </c>
      <c r="Y31" s="25" t="s">
        <v>60</v>
      </c>
      <c r="Z31" s="25" t="s">
        <v>61</v>
      </c>
      <c r="AA31" s="25" t="s">
        <v>62</v>
      </c>
      <c r="AB31" s="25" t="s">
        <v>63</v>
      </c>
      <c r="AC31" s="113" t="s">
        <v>176</v>
      </c>
      <c r="AD31" s="27" t="s">
        <v>66</v>
      </c>
      <c r="AE31" s="27" t="s">
        <v>67</v>
      </c>
      <c r="AF31" s="77" t="s">
        <v>188</v>
      </c>
      <c r="AG31" s="39" t="s">
        <v>69</v>
      </c>
      <c r="AH31" s="39" t="s">
        <v>70</v>
      </c>
      <c r="AI31" s="39" t="s">
        <v>133</v>
      </c>
      <c r="AJ31" s="39" t="s">
        <v>135</v>
      </c>
      <c r="AK31" s="113" t="s">
        <v>177</v>
      </c>
      <c r="AL31" s="34" t="s">
        <v>76</v>
      </c>
      <c r="AM31" s="34" t="s">
        <v>83</v>
      </c>
      <c r="AN31" s="34" t="s">
        <v>71</v>
      </c>
      <c r="AO31" s="34" t="s">
        <v>123</v>
      </c>
      <c r="AP31" s="33" t="s">
        <v>77</v>
      </c>
      <c r="AQ31" s="34" t="s">
        <v>84</v>
      </c>
      <c r="AR31" s="34" t="s">
        <v>75</v>
      </c>
      <c r="AS31" s="34" t="s">
        <v>106</v>
      </c>
      <c r="AT31" s="35" t="s">
        <v>124</v>
      </c>
      <c r="AU31" s="34" t="s">
        <v>128</v>
      </c>
      <c r="AV31" s="34" t="s">
        <v>130</v>
      </c>
      <c r="AW31" s="34" t="s">
        <v>131</v>
      </c>
      <c r="AX31" s="35" t="s">
        <v>132</v>
      </c>
      <c r="AY31" s="238" t="s">
        <v>78</v>
      </c>
      <c r="AZ31" s="25" t="s">
        <v>79</v>
      </c>
      <c r="BA31" s="27" t="s">
        <v>80</v>
      </c>
      <c r="BB31" s="27" t="s">
        <v>81</v>
      </c>
      <c r="BC31" s="27" t="s">
        <v>82</v>
      </c>
      <c r="BD31" s="27" t="s">
        <v>213</v>
      </c>
      <c r="BE31" s="39" t="s">
        <v>141</v>
      </c>
      <c r="BF31" s="112" t="s">
        <v>139</v>
      </c>
      <c r="BG31" s="113" t="s">
        <v>178</v>
      </c>
      <c r="BH31" s="25" t="s">
        <v>85</v>
      </c>
      <c r="BI31" s="25" t="s">
        <v>86</v>
      </c>
      <c r="BJ31" s="26" t="s">
        <v>87</v>
      </c>
      <c r="BK31" s="27" t="s">
        <v>88</v>
      </c>
      <c r="BL31" s="27" t="s">
        <v>95</v>
      </c>
      <c r="BM31" s="27" t="s">
        <v>96</v>
      </c>
      <c r="BN31" s="27" t="s">
        <v>214</v>
      </c>
      <c r="BO31" s="39" t="s">
        <v>146</v>
      </c>
      <c r="BP31" s="39" t="s">
        <v>155</v>
      </c>
      <c r="BQ31" s="113" t="s">
        <v>179</v>
      </c>
      <c r="BR31" s="89" t="s">
        <v>108</v>
      </c>
      <c r="BS31" s="90" t="s">
        <v>147</v>
      </c>
      <c r="BT31" s="91" t="s">
        <v>109</v>
      </c>
      <c r="BU31" s="89" t="s">
        <v>147</v>
      </c>
      <c r="BV31" s="80" t="s">
        <v>89</v>
      </c>
      <c r="BW31" s="26" t="s">
        <v>90</v>
      </c>
      <c r="BX31" s="27" t="s">
        <v>91</v>
      </c>
      <c r="BY31" s="39" t="s">
        <v>157</v>
      </c>
      <c r="BZ31" s="39" t="s">
        <v>159</v>
      </c>
      <c r="CA31" s="80" t="s">
        <v>92</v>
      </c>
      <c r="CB31" s="26" t="s">
        <v>93</v>
      </c>
      <c r="CC31" s="27" t="s">
        <v>94</v>
      </c>
      <c r="CD31" s="39" t="s">
        <v>161</v>
      </c>
      <c r="CE31" s="39" t="s">
        <v>163</v>
      </c>
      <c r="CF31" s="170" t="s">
        <v>166</v>
      </c>
      <c r="CG31" s="39" t="s">
        <v>168</v>
      </c>
      <c r="CH31" s="80" t="s">
        <v>97</v>
      </c>
      <c r="CI31" s="172" t="s">
        <v>107</v>
      </c>
      <c r="CJ31" s="118" t="s">
        <v>190</v>
      </c>
      <c r="CK31" s="118" t="s">
        <v>210</v>
      </c>
      <c r="CL31" s="118" t="s">
        <v>211</v>
      </c>
      <c r="CM31" s="118" t="s">
        <v>212</v>
      </c>
      <c r="CN31" s="614" t="s">
        <v>24</v>
      </c>
      <c r="CO31" s="614" t="s">
        <v>173</v>
      </c>
      <c r="CP31" s="88" t="s">
        <v>2</v>
      </c>
    </row>
    <row r="32" spans="1:97" ht="15.6" x14ac:dyDescent="0.3">
      <c r="A32" s="623"/>
      <c r="B32" s="623"/>
      <c r="C32" s="152" t="s">
        <v>192</v>
      </c>
      <c r="D32" s="31" t="s">
        <v>216</v>
      </c>
      <c r="E32" s="123" t="s">
        <v>24</v>
      </c>
      <c r="F32" s="123" t="s">
        <v>57</v>
      </c>
      <c r="G32" s="4" t="s">
        <v>48</v>
      </c>
      <c r="H32" s="31"/>
      <c r="I32" s="123"/>
      <c r="J32" s="4"/>
      <c r="K32" s="123" t="s">
        <v>15</v>
      </c>
      <c r="L32" s="123" t="s">
        <v>27</v>
      </c>
      <c r="M32" s="23" t="s">
        <v>26</v>
      </c>
      <c r="N32" s="37" t="s">
        <v>15</v>
      </c>
      <c r="O32" s="38" t="s">
        <v>26</v>
      </c>
      <c r="P32" s="24"/>
      <c r="Q32" s="16" t="s">
        <v>15</v>
      </c>
      <c r="R32" s="17" t="s">
        <v>27</v>
      </c>
      <c r="S32" s="23" t="s">
        <v>26</v>
      </c>
      <c r="T32" s="37" t="s">
        <v>15</v>
      </c>
      <c r="U32" s="38" t="s">
        <v>26</v>
      </c>
      <c r="V32" s="24"/>
      <c r="W32" s="133"/>
      <c r="X32" s="122"/>
      <c r="Y32" s="122" t="s">
        <v>15</v>
      </c>
      <c r="Z32" s="122" t="s">
        <v>15</v>
      </c>
      <c r="AA32" s="122" t="s">
        <v>26</v>
      </c>
      <c r="AB32" s="122" t="s">
        <v>26</v>
      </c>
      <c r="AC32" s="114"/>
      <c r="AD32" s="23" t="s">
        <v>26</v>
      </c>
      <c r="AE32" s="23" t="s">
        <v>26</v>
      </c>
      <c r="AF32" s="36" t="s">
        <v>68</v>
      </c>
      <c r="AG32" s="79" t="s">
        <v>121</v>
      </c>
      <c r="AH32" s="79" t="s">
        <v>136</v>
      </c>
      <c r="AI32" s="79" t="s">
        <v>122</v>
      </c>
      <c r="AJ32" s="79" t="s">
        <v>134</v>
      </c>
      <c r="AK32" s="114"/>
      <c r="AL32" s="133"/>
      <c r="AM32" s="122"/>
      <c r="AN32" s="122"/>
      <c r="AO32" s="122"/>
      <c r="AP32" s="133"/>
      <c r="AQ32" s="122"/>
      <c r="AR32" s="122"/>
      <c r="AS32" s="122"/>
      <c r="AT32" s="3"/>
      <c r="AU32" s="122"/>
      <c r="AV32" s="122"/>
      <c r="AW32" s="122"/>
      <c r="AX32" s="3"/>
      <c r="AY32" s="133"/>
      <c r="AZ32" s="122"/>
      <c r="BA32" s="118" t="s">
        <v>26</v>
      </c>
      <c r="BB32" s="118" t="s">
        <v>111</v>
      </c>
      <c r="BC32" s="118" t="s">
        <v>112</v>
      </c>
      <c r="BD32" s="118" t="s">
        <v>215</v>
      </c>
      <c r="BE32" s="39" t="s">
        <v>99</v>
      </c>
      <c r="BF32" s="39" t="s">
        <v>138</v>
      </c>
      <c r="BG32" s="114"/>
      <c r="BH32" s="123"/>
      <c r="BI32" s="123"/>
      <c r="BJ32" s="123"/>
      <c r="BK32" s="23" t="s">
        <v>26</v>
      </c>
      <c r="BL32" s="23" t="s">
        <v>111</v>
      </c>
      <c r="BM32" s="23" t="s">
        <v>112</v>
      </c>
      <c r="BN32" s="23" t="s">
        <v>215</v>
      </c>
      <c r="BO32" s="79" t="s">
        <v>100</v>
      </c>
      <c r="BP32" s="78" t="s">
        <v>154</v>
      </c>
      <c r="BQ32" s="114"/>
      <c r="BR32" s="11"/>
      <c r="BS32" s="144"/>
      <c r="BT32" s="12"/>
      <c r="BU32" s="11"/>
      <c r="BV32" s="81" t="s">
        <v>151</v>
      </c>
      <c r="BW32" s="42" t="s">
        <v>152</v>
      </c>
      <c r="BX32" s="40" t="s">
        <v>110</v>
      </c>
      <c r="BY32" s="79" t="s">
        <v>156</v>
      </c>
      <c r="BZ32" s="79" t="s">
        <v>158</v>
      </c>
      <c r="CA32" s="81" t="s">
        <v>151</v>
      </c>
      <c r="CB32" s="42" t="s">
        <v>152</v>
      </c>
      <c r="CC32" s="40" t="s">
        <v>110</v>
      </c>
      <c r="CD32" s="79" t="s">
        <v>160</v>
      </c>
      <c r="CE32" s="79" t="s">
        <v>162</v>
      </c>
      <c r="CF32" s="111" t="s">
        <v>165</v>
      </c>
      <c r="CG32" s="79" t="s">
        <v>167</v>
      </c>
      <c r="CH32" s="81" t="s">
        <v>151</v>
      </c>
      <c r="CI32" s="239" t="s">
        <v>152</v>
      </c>
      <c r="CJ32" s="120" t="s">
        <v>24</v>
      </c>
      <c r="CK32" s="120" t="s">
        <v>24</v>
      </c>
      <c r="CL32" s="120" t="s">
        <v>24</v>
      </c>
      <c r="CM32" s="120" t="s">
        <v>24</v>
      </c>
      <c r="CN32" s="615"/>
      <c r="CO32" s="615"/>
      <c r="CP32" s="121"/>
    </row>
    <row r="33" spans="1:94" x14ac:dyDescent="0.3">
      <c r="A33" s="83" t="s">
        <v>439</v>
      </c>
      <c r="B33" s="284" t="s">
        <v>268</v>
      </c>
      <c r="C33" s="93">
        <f>Dades!E25</f>
        <v>0</v>
      </c>
      <c r="D33" s="129">
        <v>3.45</v>
      </c>
      <c r="E33" s="153">
        <f>C33*D33</f>
        <v>0</v>
      </c>
      <c r="F33" s="95">
        <f>F.Distribució!D4</f>
        <v>0.73623188405797102</v>
      </c>
      <c r="G33" s="96">
        <f>E33*F33</f>
        <v>0</v>
      </c>
      <c r="H33" s="98">
        <f>F.Distribució!E4</f>
        <v>0</v>
      </c>
      <c r="I33" s="95">
        <f>F.Distribució!F4</f>
        <v>0</v>
      </c>
      <c r="J33" s="96">
        <f>F.Distribució!G4</f>
        <v>1</v>
      </c>
      <c r="K33" s="94">
        <f>E33*H33</f>
        <v>0</v>
      </c>
      <c r="L33" s="94">
        <f>G33*H33</f>
        <v>0</v>
      </c>
      <c r="M33" s="99">
        <f>L33*F.Emissió!D3</f>
        <v>0</v>
      </c>
      <c r="N33" s="100">
        <f>K33-M33</f>
        <v>0</v>
      </c>
      <c r="O33" s="101">
        <f>L33-M33</f>
        <v>0</v>
      </c>
      <c r="P33" s="102">
        <f>(H33*G33)-(M33+O33)</f>
        <v>0</v>
      </c>
      <c r="Q33" s="98">
        <f>E33*I33</f>
        <v>0</v>
      </c>
      <c r="R33" s="94">
        <f>G33*I33</f>
        <v>0</v>
      </c>
      <c r="S33" s="99">
        <f>R33*F.Emissió!G3</f>
        <v>0</v>
      </c>
      <c r="T33" s="100">
        <f>Q33-S33</f>
        <v>0</v>
      </c>
      <c r="U33" s="101">
        <f>R33-S33</f>
        <v>0</v>
      </c>
      <c r="V33" s="102">
        <f>T33+S33+N33+M33-(E33*H33+E33*I33)</f>
        <v>0</v>
      </c>
      <c r="W33" s="97">
        <f>F.Distribució!H4</f>
        <v>0</v>
      </c>
      <c r="X33" s="95">
        <f>F.Distribució!I4</f>
        <v>1</v>
      </c>
      <c r="Y33" s="95">
        <f>E33*J33*W33</f>
        <v>0</v>
      </c>
      <c r="Z33" s="153">
        <f>E33*J33*X33</f>
        <v>0</v>
      </c>
      <c r="AA33" s="153">
        <f>G33*J33*W33</f>
        <v>0</v>
      </c>
      <c r="AB33" s="155">
        <f>G33*J33*X33</f>
        <v>0</v>
      </c>
      <c r="AC33" s="115">
        <f>(AA33+AB33)-G33*J33</f>
        <v>0</v>
      </c>
      <c r="AD33" s="159">
        <f>AA33*F.Emissió!J3</f>
        <v>0</v>
      </c>
      <c r="AE33" s="159">
        <f>AB33*F.Emissió!N3</f>
        <v>0</v>
      </c>
      <c r="AF33" s="105">
        <f>F.Distribució!J4</f>
        <v>0</v>
      </c>
      <c r="AG33" s="160">
        <f>(C33*AF33*J33*W33)+Y33-AD33</f>
        <v>0</v>
      </c>
      <c r="AH33" s="160">
        <f>(AA33-AD33)*(1-0.0067)</f>
        <v>0</v>
      </c>
      <c r="AI33" s="160">
        <f>Z33-AE33</f>
        <v>0</v>
      </c>
      <c r="AJ33" s="160">
        <f>AB33-AE33</f>
        <v>0</v>
      </c>
      <c r="AK33" s="143">
        <f>(AG33+AI33+T33+N33)+(M33+S33+AD33+AE33)-(E33+AF33*C33*J33*W33)</f>
        <v>0</v>
      </c>
      <c r="AL33" s="97">
        <f>F.Distribució!L4</f>
        <v>0</v>
      </c>
      <c r="AM33" s="95">
        <f>F.Distribució!M4</f>
        <v>0</v>
      </c>
      <c r="AN33" s="95">
        <f>F.Distribució!N4</f>
        <v>0</v>
      </c>
      <c r="AO33" s="95">
        <f>F.Distribució!O4</f>
        <v>0</v>
      </c>
      <c r="AP33" s="97">
        <f>F.Distribució!R4</f>
        <v>0</v>
      </c>
      <c r="AQ33" s="95">
        <f>F.Distribució!S4</f>
        <v>1</v>
      </c>
      <c r="AR33" s="95">
        <f>F.Distribució!U4</f>
        <v>0</v>
      </c>
      <c r="AS33" s="95">
        <f>F.Distribució!V4</f>
        <v>0</v>
      </c>
      <c r="AT33" s="95">
        <f>F.Distribució!W4</f>
        <v>0</v>
      </c>
      <c r="AU33" s="97">
        <f>F.Distribució!Y4</f>
        <v>0</v>
      </c>
      <c r="AV33" s="95">
        <f>F.Distribució!Z4</f>
        <v>0</v>
      </c>
      <c r="AW33" s="95">
        <f>F.Distribució!AA4</f>
        <v>0</v>
      </c>
      <c r="AX33" s="96">
        <f>F.Distribució!AB4</f>
        <v>0</v>
      </c>
      <c r="AY33" s="95">
        <f>AG33*AL33+T33*AU33+AI33*AP33</f>
        <v>0</v>
      </c>
      <c r="AZ33" s="95">
        <f>AH33*AL33+AJ33*AP33+U33*AU33</f>
        <v>0</v>
      </c>
      <c r="BA33" s="103">
        <f>AZ33*F.Emissió!R3</f>
        <v>0</v>
      </c>
      <c r="BB33" s="103">
        <f>(AZ33*F.Emissió!AE3)</f>
        <v>0</v>
      </c>
      <c r="BC33" s="103">
        <f>(AZ33*F.Emissió!AF3)</f>
        <v>0</v>
      </c>
      <c r="BD33" s="103">
        <f>(AZ33*F.Emissió!AG3)</f>
        <v>0</v>
      </c>
      <c r="BE33" s="104">
        <f t="shared" ref="BE33:BE42" si="58">AY33-BA33-BB33*(28/44)-BC33-BD33*(14/46)</f>
        <v>0</v>
      </c>
      <c r="BF33" s="148">
        <f t="shared" ref="BF33:BF42" si="59">AZ33-BA33-BB33*(28/44)-BC33-BD33*(14/46)</f>
        <v>0</v>
      </c>
      <c r="BG33" s="106">
        <f t="shared" ref="BG33:BG42" si="60">(BE33+BA33+BC33+BB33*28/44+BD33*14/46)-AY33</f>
        <v>0</v>
      </c>
      <c r="BH33" s="154">
        <f>AG33*AM33+AI33*AQ33+T33*AV33</f>
        <v>0</v>
      </c>
      <c r="BI33" s="154">
        <f>AH33*AM33+AJ33*AQ33+U33*AV33</f>
        <v>0</v>
      </c>
      <c r="BJ33" s="154">
        <f>BI33+(BH33-BI33)*0.1</f>
        <v>0</v>
      </c>
      <c r="BK33" s="159">
        <f>BJ33*F.Emissió!U3</f>
        <v>0</v>
      </c>
      <c r="BL33" s="159">
        <f>BJ33*F.Emissió!AH3</f>
        <v>0</v>
      </c>
      <c r="BM33" s="159">
        <f>BJ33*F.Emissió!AI3</f>
        <v>0</v>
      </c>
      <c r="BN33" s="159">
        <f>BJ33*F.Emissió!AJ3</f>
        <v>0</v>
      </c>
      <c r="BO33" s="100">
        <f t="shared" ref="BO33:BO42" si="61">BH33-BK33-BL33*(28/44)-BM33-BN33*(14/46)</f>
        <v>0</v>
      </c>
      <c r="BP33" s="100">
        <f t="shared" ref="BP33:BP42" si="62">BJ33-BK33-BL33*(28/44)-BM33-BN33*(14/46)</f>
        <v>0</v>
      </c>
      <c r="BQ33" s="143">
        <f t="shared" ref="BQ33:BQ42" si="63">(BO33+BK33+BM33+BL33*28/44+BN33*14/46)-BH33</f>
        <v>0</v>
      </c>
      <c r="BR33" s="97">
        <f>F.Distribució!AD4</f>
        <v>1</v>
      </c>
      <c r="BS33" s="95">
        <f>F.Distribució!AE4</f>
        <v>0</v>
      </c>
      <c r="BT33" s="97">
        <f>F.Distribució!AF4</f>
        <v>1</v>
      </c>
      <c r="BU33" s="96">
        <f>F.Distribució!AG4</f>
        <v>0</v>
      </c>
      <c r="BV33" s="116">
        <f>BE33*BR33+AG33*AN33+AI33*AR33+T33*AW33</f>
        <v>0</v>
      </c>
      <c r="BW33" s="116">
        <f>BF33*BR33+AH33*AN33+AJ33*AR33+U33*AW33</f>
        <v>0</v>
      </c>
      <c r="BX33" s="117">
        <f>BW33*F.Emissió!X3</f>
        <v>0</v>
      </c>
      <c r="BY33" s="100">
        <f>BV33-BX33</f>
        <v>0</v>
      </c>
      <c r="BZ33" s="101">
        <f>BW33-BX33</f>
        <v>0</v>
      </c>
      <c r="CA33" s="165">
        <f>AI33*AS33+BO33*BT33</f>
        <v>0</v>
      </c>
      <c r="CB33" s="153">
        <f>AJ33*AS33+BP33*BT33</f>
        <v>0</v>
      </c>
      <c r="CC33" s="166">
        <f>CB33*F.Emissió!AA3</f>
        <v>0</v>
      </c>
      <c r="CD33" s="167">
        <f>CA33-CC33</f>
        <v>0</v>
      </c>
      <c r="CE33" s="168">
        <f>CB33-CC33</f>
        <v>0</v>
      </c>
      <c r="CF33" s="171">
        <f>CD33+BY33+N33</f>
        <v>0</v>
      </c>
      <c r="CG33" s="169">
        <f>CE33+BZ33+O33</f>
        <v>0</v>
      </c>
      <c r="CH33" s="165">
        <f>T33*AX33+BO33*BU33+BE33*BS33+AI33*AT33+AG33*AO33</f>
        <v>0</v>
      </c>
      <c r="CI33" s="155">
        <f>U33*AX33+BP33*BU33+BF33*BS33+AJ33*AT33+AH33*AO33</f>
        <v>0</v>
      </c>
      <c r="CJ33" s="159">
        <f>CC33+BX33+BK33+BA33+AE33+AD33+S33+M33</f>
        <v>0</v>
      </c>
      <c r="CK33" s="159">
        <f>(BL33+BB33)*28/44</f>
        <v>0</v>
      </c>
      <c r="CL33" s="159">
        <f>(BM33+BC33)</f>
        <v>0</v>
      </c>
      <c r="CM33" s="164">
        <f t="shared" ref="CM33:CM42" si="64">(BN33+BD33)*14/46</f>
        <v>0</v>
      </c>
      <c r="CN33" s="164">
        <f>SUM(CJ33:CM33)</f>
        <v>0</v>
      </c>
      <c r="CO33" s="164">
        <f>CJ33*17/14</f>
        <v>0</v>
      </c>
      <c r="CP33" s="106">
        <f>(E33+(AF33*C33*J33*W33)-(CH33+CN33+CF33))</f>
        <v>0</v>
      </c>
    </row>
    <row r="34" spans="1:94" hidden="1" x14ac:dyDescent="0.3">
      <c r="A34" s="6" t="s">
        <v>439</v>
      </c>
      <c r="B34" s="2"/>
      <c r="C34" s="107"/>
      <c r="D34" s="130"/>
      <c r="E34" s="154"/>
      <c r="F34" s="94"/>
      <c r="G34" s="131"/>
      <c r="H34" s="98"/>
      <c r="I34" s="94"/>
      <c r="J34" s="131"/>
      <c r="K34" s="94"/>
      <c r="L34" s="94"/>
      <c r="M34" s="99"/>
      <c r="N34" s="100"/>
      <c r="O34" s="101"/>
      <c r="P34" s="102"/>
      <c r="Q34" s="98"/>
      <c r="R34" s="94"/>
      <c r="S34" s="99"/>
      <c r="T34" s="100"/>
      <c r="U34" s="101"/>
      <c r="V34" s="102"/>
      <c r="W34" s="98"/>
      <c r="X34" s="94"/>
      <c r="Y34" s="94"/>
      <c r="Z34" s="154"/>
      <c r="AA34" s="154"/>
      <c r="AB34" s="156"/>
      <c r="AC34" s="115"/>
      <c r="AD34" s="159"/>
      <c r="AE34" s="159"/>
      <c r="AF34" s="105"/>
      <c r="AG34" s="160"/>
      <c r="AH34" s="160"/>
      <c r="AI34" s="160"/>
      <c r="AJ34" s="160"/>
      <c r="AK34" s="143"/>
      <c r="AL34" s="98"/>
      <c r="AM34" s="94"/>
      <c r="AN34" s="94"/>
      <c r="AO34" s="94"/>
      <c r="AP34" s="98"/>
      <c r="AQ34" s="94"/>
      <c r="AR34" s="94"/>
      <c r="AS34" s="94"/>
      <c r="AT34" s="94"/>
      <c r="AU34" s="98"/>
      <c r="AV34" s="94"/>
      <c r="AW34" s="94"/>
      <c r="AX34" s="131"/>
      <c r="AY34" s="94"/>
      <c r="AZ34" s="94"/>
      <c r="BA34" s="99"/>
      <c r="BB34" s="99"/>
      <c r="BC34" s="99"/>
      <c r="BD34" s="99"/>
      <c r="BE34" s="100"/>
      <c r="BF34" s="101"/>
      <c r="BG34" s="106"/>
      <c r="BH34" s="154"/>
      <c r="BI34" s="154"/>
      <c r="BJ34" s="154"/>
      <c r="BK34" s="159"/>
      <c r="BL34" s="159"/>
      <c r="BM34" s="159"/>
      <c r="BN34" s="159"/>
      <c r="BO34" s="100"/>
      <c r="BP34" s="100"/>
      <c r="BQ34" s="143"/>
      <c r="BR34" s="98"/>
      <c r="BS34" s="94"/>
      <c r="BT34" s="98"/>
      <c r="BU34" s="131"/>
      <c r="BV34" s="116"/>
      <c r="BW34" s="116"/>
      <c r="BX34" s="117"/>
      <c r="BY34" s="100"/>
      <c r="BZ34" s="101"/>
      <c r="CA34" s="163"/>
      <c r="CB34" s="154"/>
      <c r="CC34" s="162"/>
      <c r="CD34" s="160"/>
      <c r="CE34" s="169"/>
      <c r="CF34" s="171"/>
      <c r="CG34" s="169"/>
      <c r="CH34" s="163"/>
      <c r="CI34" s="156"/>
      <c r="CJ34" s="159"/>
      <c r="CK34" s="159"/>
      <c r="CL34" s="159"/>
      <c r="CM34" s="164"/>
      <c r="CN34" s="164"/>
      <c r="CO34" s="164"/>
      <c r="CP34" s="106"/>
    </row>
    <row r="35" spans="1:94" hidden="1" x14ac:dyDescent="0.3">
      <c r="A35" s="6" t="s">
        <v>439</v>
      </c>
      <c r="B35" s="2"/>
      <c r="C35" s="107"/>
      <c r="D35" s="130"/>
      <c r="E35" s="154"/>
      <c r="F35" s="94"/>
      <c r="G35" s="131"/>
      <c r="H35" s="98"/>
      <c r="I35" s="94"/>
      <c r="J35" s="131"/>
      <c r="K35" s="94"/>
      <c r="L35" s="94"/>
      <c r="M35" s="99"/>
      <c r="N35" s="100"/>
      <c r="O35" s="101"/>
      <c r="P35" s="102"/>
      <c r="Q35" s="98"/>
      <c r="R35" s="94"/>
      <c r="S35" s="99"/>
      <c r="T35" s="100"/>
      <c r="U35" s="101"/>
      <c r="V35" s="102"/>
      <c r="W35" s="98"/>
      <c r="X35" s="94"/>
      <c r="Y35" s="94"/>
      <c r="Z35" s="154"/>
      <c r="AA35" s="154"/>
      <c r="AB35" s="156"/>
      <c r="AC35" s="115"/>
      <c r="AD35" s="159"/>
      <c r="AE35" s="159"/>
      <c r="AF35" s="105"/>
      <c r="AG35" s="160"/>
      <c r="AH35" s="160"/>
      <c r="AI35" s="160"/>
      <c r="AJ35" s="160"/>
      <c r="AK35" s="143"/>
      <c r="AL35" s="98"/>
      <c r="AM35" s="94"/>
      <c r="AN35" s="94"/>
      <c r="AO35" s="94"/>
      <c r="AP35" s="98"/>
      <c r="AQ35" s="94"/>
      <c r="AR35" s="94"/>
      <c r="AS35" s="94"/>
      <c r="AT35" s="94"/>
      <c r="AU35" s="98"/>
      <c r="AV35" s="94"/>
      <c r="AW35" s="94"/>
      <c r="AX35" s="131"/>
      <c r="AY35" s="94"/>
      <c r="AZ35" s="94"/>
      <c r="BA35" s="99"/>
      <c r="BB35" s="99"/>
      <c r="BC35" s="99"/>
      <c r="BD35" s="99"/>
      <c r="BE35" s="100"/>
      <c r="BF35" s="101"/>
      <c r="BG35" s="106"/>
      <c r="BH35" s="154"/>
      <c r="BI35" s="154"/>
      <c r="BJ35" s="154"/>
      <c r="BK35" s="159"/>
      <c r="BL35" s="159"/>
      <c r="BM35" s="159"/>
      <c r="BN35" s="159"/>
      <c r="BO35" s="100"/>
      <c r="BP35" s="100"/>
      <c r="BQ35" s="143"/>
      <c r="BR35" s="98"/>
      <c r="BS35" s="94"/>
      <c r="BT35" s="98"/>
      <c r="BU35" s="131"/>
      <c r="BV35" s="116"/>
      <c r="BW35" s="116"/>
      <c r="BX35" s="117"/>
      <c r="BY35" s="100"/>
      <c r="BZ35" s="101"/>
      <c r="CA35" s="163"/>
      <c r="CB35" s="154"/>
      <c r="CC35" s="162"/>
      <c r="CD35" s="160"/>
      <c r="CE35" s="169"/>
      <c r="CF35" s="171"/>
      <c r="CG35" s="169"/>
      <c r="CH35" s="163"/>
      <c r="CI35" s="156"/>
      <c r="CJ35" s="159"/>
      <c r="CK35" s="159"/>
      <c r="CL35" s="159"/>
      <c r="CM35" s="164"/>
      <c r="CN35" s="164"/>
      <c r="CO35" s="164"/>
      <c r="CP35" s="106"/>
    </row>
    <row r="36" spans="1:94" x14ac:dyDescent="0.3">
      <c r="A36" s="6" t="s">
        <v>439</v>
      </c>
      <c r="B36" s="285" t="s">
        <v>218</v>
      </c>
      <c r="C36" s="107">
        <f>Dades!E27</f>
        <v>0</v>
      </c>
      <c r="D36" s="357">
        <v>10.4</v>
      </c>
      <c r="E36" s="154">
        <f t="shared" ref="E36:E42" si="65">C36*D36</f>
        <v>0</v>
      </c>
      <c r="F36" s="94">
        <f>F.Distribució!D7</f>
        <v>0.72003424657534254</v>
      </c>
      <c r="G36" s="131">
        <f t="shared" ref="G36:G42" si="66">E36*F36</f>
        <v>0</v>
      </c>
      <c r="H36" s="98">
        <f>F.Distribució!E7</f>
        <v>0</v>
      </c>
      <c r="I36" s="94">
        <f>F.Distribució!F7</f>
        <v>0</v>
      </c>
      <c r="J36" s="131">
        <f>F.Distribució!G7</f>
        <v>1</v>
      </c>
      <c r="K36" s="94">
        <f t="shared" ref="K36:K42" si="67">E36*H36</f>
        <v>0</v>
      </c>
      <c r="L36" s="94">
        <f t="shared" ref="L36:L42" si="68">G36*H36</f>
        <v>0</v>
      </c>
      <c r="M36" s="99">
        <f>L36*F.Emissió!D6</f>
        <v>0</v>
      </c>
      <c r="N36" s="100">
        <f t="shared" ref="N36:N42" si="69">K36-M36</f>
        <v>0</v>
      </c>
      <c r="O36" s="101">
        <f t="shared" ref="O36:O42" si="70">L36-M36</f>
        <v>0</v>
      </c>
      <c r="P36" s="102">
        <f>(H36*G36)-(M36+O36)</f>
        <v>0</v>
      </c>
      <c r="Q36" s="98">
        <f t="shared" ref="Q36:Q42" si="71">E36*I36</f>
        <v>0</v>
      </c>
      <c r="R36" s="94">
        <f t="shared" ref="R36:R42" si="72">G36*I36</f>
        <v>0</v>
      </c>
      <c r="S36" s="99">
        <f>R36*F.Emissió!G6</f>
        <v>0</v>
      </c>
      <c r="T36" s="100">
        <f t="shared" ref="T36:T42" si="73">Q36-S36</f>
        <v>0</v>
      </c>
      <c r="U36" s="101">
        <f t="shared" ref="U36:U42" si="74">R36-S36</f>
        <v>0</v>
      </c>
      <c r="V36" s="102">
        <f>T36+S36+N36+M36-(E36*H36+E36*I36)</f>
        <v>0</v>
      </c>
      <c r="W36" s="98">
        <f>F.Distribució!H7</f>
        <v>0</v>
      </c>
      <c r="X36" s="94">
        <f>F.Distribució!I7</f>
        <v>1</v>
      </c>
      <c r="Y36" s="94">
        <f t="shared" ref="Y36" si="75">E36*J36*W36</f>
        <v>0</v>
      </c>
      <c r="Z36" s="154">
        <f t="shared" ref="Z36:Z42" si="76">E36*J36*X36</f>
        <v>0</v>
      </c>
      <c r="AA36" s="154">
        <f t="shared" ref="AA36:AA42" si="77">G36*J36*W36</f>
        <v>0</v>
      </c>
      <c r="AB36" s="156">
        <f t="shared" ref="AB36:AB42" si="78">G36*J36*X36</f>
        <v>0</v>
      </c>
      <c r="AC36" s="115">
        <f t="shared" ref="AC36" si="79">(AA36+AB36)-G36*J36</f>
        <v>0</v>
      </c>
      <c r="AD36" s="159">
        <f>AA36*F.Emissió!J6</f>
        <v>0</v>
      </c>
      <c r="AE36" s="159">
        <f>AB36*F.Emissió!N6</f>
        <v>0</v>
      </c>
      <c r="AF36" s="105">
        <f>F.Distribució!J7</f>
        <v>0</v>
      </c>
      <c r="AG36" s="160">
        <f t="shared" ref="AG36:AG42" si="80">(C36*AF36*J36*W36)+Y36-AD36</f>
        <v>0</v>
      </c>
      <c r="AH36" s="160">
        <f t="shared" ref="AH36:AH42" si="81">(AA36-AD36)*(1-0.0067)</f>
        <v>0</v>
      </c>
      <c r="AI36" s="160">
        <f t="shared" ref="AI36:AI42" si="82">Z36-AE36</f>
        <v>0</v>
      </c>
      <c r="AJ36" s="160">
        <f t="shared" ref="AJ36:AJ42" si="83">AB36-AE36</f>
        <v>0</v>
      </c>
      <c r="AK36" s="143">
        <f t="shared" ref="AK36:AK42" si="84">(AG36+AI36+T36+N36)+(M36+S36+AD36+AE36)-(E36+AF36*C36*J36*W36)</f>
        <v>0</v>
      </c>
      <c r="AL36" s="98">
        <f>F.Distribució!L7</f>
        <v>0</v>
      </c>
      <c r="AM36" s="94">
        <f>F.Distribució!M7</f>
        <v>0</v>
      </c>
      <c r="AN36" s="94">
        <f>F.Distribució!N7</f>
        <v>0</v>
      </c>
      <c r="AO36" s="94">
        <f>F.Distribució!O7</f>
        <v>0</v>
      </c>
      <c r="AP36" s="98">
        <f>F.Distribució!R7</f>
        <v>0</v>
      </c>
      <c r="AQ36" s="94">
        <f>F.Distribució!S7</f>
        <v>1</v>
      </c>
      <c r="AR36" s="94">
        <f>F.Distribució!U7</f>
        <v>0</v>
      </c>
      <c r="AS36" s="94">
        <f>F.Distribució!V7</f>
        <v>0</v>
      </c>
      <c r="AT36" s="94">
        <f>F.Distribució!W7</f>
        <v>0</v>
      </c>
      <c r="AU36" s="98">
        <f>F.Distribució!Y7</f>
        <v>0</v>
      </c>
      <c r="AV36" s="94">
        <f>F.Distribució!Z7</f>
        <v>0</v>
      </c>
      <c r="AW36" s="94">
        <f>F.Distribució!AA7</f>
        <v>0</v>
      </c>
      <c r="AX36" s="131">
        <f>F.Distribució!AB7</f>
        <v>0</v>
      </c>
      <c r="AY36" s="94">
        <f t="shared" ref="AY36:AY42" si="85">AG36*AL36+T36*AU36+AI36*AP36</f>
        <v>0</v>
      </c>
      <c r="AZ36" s="94">
        <f t="shared" ref="AZ36:AZ42" si="86">AH36*AL36+AJ36*AP36+U36*AU36</f>
        <v>0</v>
      </c>
      <c r="BA36" s="99">
        <f>AZ36*F.Emissió!R6</f>
        <v>0</v>
      </c>
      <c r="BB36" s="99">
        <f>(AZ36*F.Emissió!AE6)</f>
        <v>0</v>
      </c>
      <c r="BC36" s="99">
        <f>(AZ36*F.Emissió!AF6)</f>
        <v>0</v>
      </c>
      <c r="BD36" s="99">
        <f>(AZ36*F.Emissió!AG6)</f>
        <v>0</v>
      </c>
      <c r="BE36" s="100">
        <f t="shared" si="58"/>
        <v>0</v>
      </c>
      <c r="BF36" s="101">
        <f t="shared" si="59"/>
        <v>0</v>
      </c>
      <c r="BG36" s="106">
        <f t="shared" si="60"/>
        <v>0</v>
      </c>
      <c r="BH36" s="154">
        <f t="shared" ref="BH36:BH42" si="87">AG36*AM36+AI36*AQ36+T36*AV36</f>
        <v>0</v>
      </c>
      <c r="BI36" s="154">
        <f t="shared" ref="BI36:BI42" si="88">AH36*AM36+AJ36*AQ36+U36*AV36</f>
        <v>0</v>
      </c>
      <c r="BJ36" s="154">
        <f t="shared" ref="BJ36:BJ42" si="89">BI36+(BH36-BI36)*0.1</f>
        <v>0</v>
      </c>
      <c r="BK36" s="159">
        <f>BJ36*F.Emissió!U6</f>
        <v>0</v>
      </c>
      <c r="BL36" s="159">
        <f>BJ36*F.Emissió!AH6</f>
        <v>0</v>
      </c>
      <c r="BM36" s="159">
        <f>BJ36*F.Emissió!AI6</f>
        <v>0</v>
      </c>
      <c r="BN36" s="159">
        <f>BJ36*F.Emissió!AJ6</f>
        <v>0</v>
      </c>
      <c r="BO36" s="100">
        <f t="shared" si="61"/>
        <v>0</v>
      </c>
      <c r="BP36" s="100">
        <f t="shared" si="62"/>
        <v>0</v>
      </c>
      <c r="BQ36" s="143">
        <f t="shared" si="63"/>
        <v>0</v>
      </c>
      <c r="BR36" s="98">
        <f>F.Distribució!AD7</f>
        <v>1</v>
      </c>
      <c r="BS36" s="94">
        <f>F.Distribució!AE7</f>
        <v>0</v>
      </c>
      <c r="BT36" s="98">
        <f>F.Distribució!AF7</f>
        <v>1</v>
      </c>
      <c r="BU36" s="131">
        <f>F.Distribució!AG7</f>
        <v>0</v>
      </c>
      <c r="BV36" s="116">
        <f>BE36*BR36+AG36*AN36+AI36*AR36+T36*AW36</f>
        <v>0</v>
      </c>
      <c r="BW36" s="116">
        <f t="shared" ref="BW36:BW42" si="90">BF36*BR36+AH36*AN36+AJ36*AR36+U36*AW36</f>
        <v>0</v>
      </c>
      <c r="BX36" s="117">
        <f>BW36*F.Emissió!X6</f>
        <v>0</v>
      </c>
      <c r="BY36" s="100">
        <f t="shared" ref="BY36:BY42" si="91">BV36-BX36</f>
        <v>0</v>
      </c>
      <c r="BZ36" s="101">
        <f t="shared" ref="BZ36:BZ42" si="92">BW36-BX36</f>
        <v>0</v>
      </c>
      <c r="CA36" s="163">
        <f t="shared" ref="CA36:CA42" si="93">AI36*AS36+BO36*BT36</f>
        <v>0</v>
      </c>
      <c r="CB36" s="154">
        <f t="shared" ref="CB36:CB42" si="94">AJ36*AS36+BP36*BT36</f>
        <v>0</v>
      </c>
      <c r="CC36" s="162">
        <f>CB36*F.Emissió!AA6</f>
        <v>0</v>
      </c>
      <c r="CD36" s="160">
        <f t="shared" ref="CD36:CD42" si="95">CA36-CC36</f>
        <v>0</v>
      </c>
      <c r="CE36" s="169">
        <f t="shared" ref="CE36:CE42" si="96">CB36-CC36</f>
        <v>0</v>
      </c>
      <c r="CF36" s="171">
        <f t="shared" ref="CF36:CF47" si="97">CD36+BY36+N36</f>
        <v>0</v>
      </c>
      <c r="CG36" s="169">
        <f t="shared" ref="CG36:CG47" si="98">CE36+BZ36+O36</f>
        <v>0</v>
      </c>
      <c r="CH36" s="163">
        <f t="shared" ref="CH36:CH42" si="99">T36*AX36+BO36*BU36+BE36*BS36+AI36*AT36+AG36*AO36</f>
        <v>0</v>
      </c>
      <c r="CI36" s="156">
        <f t="shared" ref="CI36:CI42" si="100">U36*AX36+BP36*BU36+BF36*BS36+AJ36*AT36+AH36*AO36</f>
        <v>0</v>
      </c>
      <c r="CJ36" s="159">
        <f t="shared" ref="CJ36:CJ42" si="101">CC36+BX36+BK36+BA36+AE36+AD36+S36+M36</f>
        <v>0</v>
      </c>
      <c r="CK36" s="159">
        <f t="shared" ref="CK36:CK42" si="102">(BL36+BB36)*28/44</f>
        <v>0</v>
      </c>
      <c r="CL36" s="159">
        <f t="shared" ref="CL36:CL42" si="103">(BM36+BC36)</f>
        <v>0</v>
      </c>
      <c r="CM36" s="164">
        <f t="shared" si="64"/>
        <v>0</v>
      </c>
      <c r="CN36" s="164">
        <f t="shared" ref="CN36:CN47" si="104">SUM(CJ36:CM36)</f>
        <v>0</v>
      </c>
      <c r="CO36" s="164">
        <f t="shared" ref="CO36:CO42" si="105">CJ36*17/14</f>
        <v>0</v>
      </c>
      <c r="CP36" s="106">
        <f t="shared" ref="CP36:CP42" si="106">(E36+(AF36*C36*J36*W36)-(CH36+CN36+CF36))</f>
        <v>0</v>
      </c>
    </row>
    <row r="37" spans="1:94" hidden="1" x14ac:dyDescent="0.3">
      <c r="A37" s="6" t="s">
        <v>439</v>
      </c>
      <c r="B37" s="2"/>
      <c r="C37" s="107"/>
      <c r="D37" s="130"/>
      <c r="E37" s="154"/>
      <c r="F37" s="94"/>
      <c r="G37" s="131"/>
      <c r="H37" s="98"/>
      <c r="I37" s="94"/>
      <c r="J37" s="131"/>
      <c r="K37" s="94"/>
      <c r="L37" s="94"/>
      <c r="M37" s="99"/>
      <c r="N37" s="100"/>
      <c r="O37" s="101"/>
      <c r="P37" s="102"/>
      <c r="Q37" s="98"/>
      <c r="R37" s="94"/>
      <c r="S37" s="99"/>
      <c r="T37" s="100"/>
      <c r="U37" s="101"/>
      <c r="V37" s="102"/>
      <c r="W37" s="98"/>
      <c r="X37" s="94"/>
      <c r="Y37" s="94"/>
      <c r="Z37" s="154"/>
      <c r="AA37" s="154"/>
      <c r="AB37" s="156"/>
      <c r="AC37" s="115"/>
      <c r="AD37" s="159"/>
      <c r="AE37" s="159"/>
      <c r="AF37" s="105"/>
      <c r="AG37" s="160"/>
      <c r="AH37" s="160"/>
      <c r="AI37" s="160"/>
      <c r="AJ37" s="160"/>
      <c r="AK37" s="143"/>
      <c r="AL37" s="98"/>
      <c r="AM37" s="94"/>
      <c r="AN37" s="94"/>
      <c r="AO37" s="94"/>
      <c r="AP37" s="98"/>
      <c r="AQ37" s="94"/>
      <c r="AR37" s="94"/>
      <c r="AS37" s="94"/>
      <c r="AT37" s="94"/>
      <c r="AU37" s="98"/>
      <c r="AV37" s="94"/>
      <c r="AW37" s="94"/>
      <c r="AX37" s="131"/>
      <c r="AY37" s="94"/>
      <c r="AZ37" s="94"/>
      <c r="BA37" s="99"/>
      <c r="BB37" s="99"/>
      <c r="BC37" s="99"/>
      <c r="BD37" s="99"/>
      <c r="BE37" s="100"/>
      <c r="BF37" s="101"/>
      <c r="BG37" s="106"/>
      <c r="BH37" s="154"/>
      <c r="BI37" s="154"/>
      <c r="BJ37" s="154"/>
      <c r="BK37" s="159"/>
      <c r="BL37" s="159"/>
      <c r="BM37" s="159"/>
      <c r="BN37" s="159"/>
      <c r="BO37" s="100"/>
      <c r="BP37" s="100"/>
      <c r="BQ37" s="143"/>
      <c r="BR37" s="98"/>
      <c r="BS37" s="94"/>
      <c r="BT37" s="98"/>
      <c r="BU37" s="131"/>
      <c r="BV37" s="116"/>
      <c r="BW37" s="116"/>
      <c r="BX37" s="117"/>
      <c r="BY37" s="100"/>
      <c r="BZ37" s="101"/>
      <c r="CA37" s="163"/>
      <c r="CB37" s="154"/>
      <c r="CC37" s="162"/>
      <c r="CD37" s="160"/>
      <c r="CE37" s="169"/>
      <c r="CF37" s="171"/>
      <c r="CG37" s="169"/>
      <c r="CH37" s="163"/>
      <c r="CI37" s="156"/>
      <c r="CJ37" s="159"/>
      <c r="CK37" s="159"/>
      <c r="CL37" s="159"/>
      <c r="CM37" s="164"/>
      <c r="CN37" s="164"/>
      <c r="CO37" s="164"/>
      <c r="CP37" s="106"/>
    </row>
    <row r="38" spans="1:94" hidden="1" x14ac:dyDescent="0.3">
      <c r="A38" s="6" t="s">
        <v>439</v>
      </c>
      <c r="B38" s="2"/>
      <c r="C38" s="107"/>
      <c r="D38" s="130"/>
      <c r="E38" s="154"/>
      <c r="F38" s="94"/>
      <c r="G38" s="131"/>
      <c r="H38" s="98"/>
      <c r="I38" s="94"/>
      <c r="J38" s="131"/>
      <c r="K38" s="94"/>
      <c r="L38" s="94"/>
      <c r="M38" s="99"/>
      <c r="N38" s="100"/>
      <c r="O38" s="101"/>
      <c r="P38" s="102"/>
      <c r="Q38" s="98"/>
      <c r="R38" s="94"/>
      <c r="S38" s="99"/>
      <c r="T38" s="100"/>
      <c r="U38" s="101"/>
      <c r="V38" s="102"/>
      <c r="W38" s="98"/>
      <c r="X38" s="94"/>
      <c r="Y38" s="94"/>
      <c r="Z38" s="154"/>
      <c r="AA38" s="154"/>
      <c r="AB38" s="156"/>
      <c r="AC38" s="115"/>
      <c r="AD38" s="159"/>
      <c r="AE38" s="159"/>
      <c r="AF38" s="105"/>
      <c r="AG38" s="160"/>
      <c r="AH38" s="160"/>
      <c r="AI38" s="160"/>
      <c r="AJ38" s="160"/>
      <c r="AK38" s="143"/>
      <c r="AL38" s="98"/>
      <c r="AM38" s="94"/>
      <c r="AN38" s="94"/>
      <c r="AO38" s="94"/>
      <c r="AP38" s="98"/>
      <c r="AQ38" s="94"/>
      <c r="AR38" s="94"/>
      <c r="AS38" s="94"/>
      <c r="AT38" s="94"/>
      <c r="AU38" s="98"/>
      <c r="AV38" s="94"/>
      <c r="AW38" s="94"/>
      <c r="AX38" s="131"/>
      <c r="AY38" s="94"/>
      <c r="AZ38" s="94"/>
      <c r="BA38" s="99"/>
      <c r="BB38" s="99"/>
      <c r="BC38" s="99"/>
      <c r="BD38" s="99"/>
      <c r="BE38" s="100"/>
      <c r="BF38" s="101"/>
      <c r="BG38" s="106"/>
      <c r="BH38" s="154"/>
      <c r="BI38" s="154"/>
      <c r="BJ38" s="154"/>
      <c r="BK38" s="159"/>
      <c r="BL38" s="159"/>
      <c r="BM38" s="159"/>
      <c r="BN38" s="159"/>
      <c r="BO38" s="100"/>
      <c r="BP38" s="100"/>
      <c r="BQ38" s="143"/>
      <c r="BR38" s="98"/>
      <c r="BS38" s="94"/>
      <c r="BT38" s="98"/>
      <c r="BU38" s="131"/>
      <c r="BV38" s="116"/>
      <c r="BW38" s="116"/>
      <c r="BX38" s="117"/>
      <c r="BY38" s="100"/>
      <c r="BZ38" s="101"/>
      <c r="CA38" s="163"/>
      <c r="CB38" s="154"/>
      <c r="CC38" s="162"/>
      <c r="CD38" s="160"/>
      <c r="CE38" s="169"/>
      <c r="CF38" s="171"/>
      <c r="CG38" s="169"/>
      <c r="CH38" s="163"/>
      <c r="CI38" s="156"/>
      <c r="CJ38" s="159"/>
      <c r="CK38" s="159"/>
      <c r="CL38" s="159"/>
      <c r="CM38" s="164"/>
      <c r="CN38" s="164"/>
      <c r="CO38" s="164"/>
      <c r="CP38" s="106"/>
    </row>
    <row r="39" spans="1:94" x14ac:dyDescent="0.3">
      <c r="A39" s="6" t="s">
        <v>439</v>
      </c>
      <c r="B39" s="285" t="s">
        <v>217</v>
      </c>
      <c r="C39" s="107">
        <f>Dades!E29</f>
        <v>0</v>
      </c>
      <c r="D39" s="130">
        <v>18.75</v>
      </c>
      <c r="E39" s="154">
        <f t="shared" si="65"/>
        <v>0</v>
      </c>
      <c r="F39" s="94">
        <f>F.Distribució!D10</f>
        <v>0.74879999999999991</v>
      </c>
      <c r="G39" s="131">
        <f t="shared" si="66"/>
        <v>0</v>
      </c>
      <c r="H39" s="98">
        <f>F.Distribució!E10</f>
        <v>0</v>
      </c>
      <c r="I39" s="94">
        <f>F.Distribució!F10</f>
        <v>0</v>
      </c>
      <c r="J39" s="131">
        <f>F.Distribució!G10</f>
        <v>1</v>
      </c>
      <c r="K39" s="94">
        <f t="shared" si="67"/>
        <v>0</v>
      </c>
      <c r="L39" s="94">
        <f t="shared" si="68"/>
        <v>0</v>
      </c>
      <c r="M39" s="99">
        <f>L39*F.Emissió!D9</f>
        <v>0</v>
      </c>
      <c r="N39" s="100">
        <f t="shared" si="69"/>
        <v>0</v>
      </c>
      <c r="O39" s="101">
        <f t="shared" si="70"/>
        <v>0</v>
      </c>
      <c r="P39" s="102">
        <f t="shared" ref="P39:P42" si="107">(H39*G39)-(M39+O39)</f>
        <v>0</v>
      </c>
      <c r="Q39" s="98">
        <f t="shared" si="71"/>
        <v>0</v>
      </c>
      <c r="R39" s="94">
        <f t="shared" si="72"/>
        <v>0</v>
      </c>
      <c r="S39" s="99">
        <f>R39*F.Emissió!G9</f>
        <v>0</v>
      </c>
      <c r="T39" s="100">
        <f t="shared" si="73"/>
        <v>0</v>
      </c>
      <c r="U39" s="101">
        <f t="shared" si="74"/>
        <v>0</v>
      </c>
      <c r="V39" s="102">
        <f t="shared" ref="V39:V42" si="108">T39+S39+N39+M39-(E39*H39+E39*I39)</f>
        <v>0</v>
      </c>
      <c r="W39" s="98">
        <f>F.Distribució!H10</f>
        <v>0</v>
      </c>
      <c r="X39" s="94">
        <f>F.Distribució!I10</f>
        <v>1</v>
      </c>
      <c r="Y39" s="94">
        <f t="shared" ref="Y39:Y42" si="109">E39*J39*W39</f>
        <v>0</v>
      </c>
      <c r="Z39" s="154">
        <f t="shared" si="76"/>
        <v>0</v>
      </c>
      <c r="AA39" s="154">
        <f t="shared" si="77"/>
        <v>0</v>
      </c>
      <c r="AB39" s="156">
        <f t="shared" si="78"/>
        <v>0</v>
      </c>
      <c r="AC39" s="115">
        <f t="shared" ref="AC39:AC42" si="110">(AA39+AB39)-G39*J39</f>
        <v>0</v>
      </c>
      <c r="AD39" s="159">
        <f>AA39*F.Emissió!J9</f>
        <v>0</v>
      </c>
      <c r="AE39" s="159">
        <f>AB39*F.Emissió!N9</f>
        <v>0</v>
      </c>
      <c r="AF39" s="105">
        <f>F.Distribució!J10</f>
        <v>0</v>
      </c>
      <c r="AG39" s="160">
        <f t="shared" si="80"/>
        <v>0</v>
      </c>
      <c r="AH39" s="160">
        <f t="shared" si="81"/>
        <v>0</v>
      </c>
      <c r="AI39" s="160">
        <f t="shared" si="82"/>
        <v>0</v>
      </c>
      <c r="AJ39" s="160">
        <f t="shared" si="83"/>
        <v>0</v>
      </c>
      <c r="AK39" s="143">
        <f t="shared" si="84"/>
        <v>0</v>
      </c>
      <c r="AL39" s="98">
        <f>F.Distribució!L10</f>
        <v>0</v>
      </c>
      <c r="AM39" s="94">
        <f>F.Distribució!M10</f>
        <v>0</v>
      </c>
      <c r="AN39" s="94">
        <f>F.Distribució!N10</f>
        <v>0</v>
      </c>
      <c r="AO39" s="94">
        <f>F.Distribució!O10</f>
        <v>0</v>
      </c>
      <c r="AP39" s="98">
        <f>F.Distribució!R10</f>
        <v>0</v>
      </c>
      <c r="AQ39" s="94">
        <f>F.Distribució!S10</f>
        <v>1</v>
      </c>
      <c r="AR39" s="94">
        <f>F.Distribució!U10</f>
        <v>0</v>
      </c>
      <c r="AS39" s="94">
        <f>F.Distribució!V10</f>
        <v>0</v>
      </c>
      <c r="AT39" s="94">
        <f>F.Distribució!W10</f>
        <v>0</v>
      </c>
      <c r="AU39" s="98">
        <f>F.Distribució!Y10</f>
        <v>0</v>
      </c>
      <c r="AV39" s="94">
        <f>F.Distribució!Z10</f>
        <v>0</v>
      </c>
      <c r="AW39" s="94">
        <f>F.Distribució!AA10</f>
        <v>0</v>
      </c>
      <c r="AX39" s="131">
        <f>F.Distribució!AB10</f>
        <v>0</v>
      </c>
      <c r="AY39" s="94">
        <f t="shared" si="85"/>
        <v>0</v>
      </c>
      <c r="AZ39" s="94">
        <f t="shared" si="86"/>
        <v>0</v>
      </c>
      <c r="BA39" s="99">
        <f>AZ39*F.Emissió!R9</f>
        <v>0</v>
      </c>
      <c r="BB39" s="99">
        <f>(AZ39*F.Emissió!AE9)</f>
        <v>0</v>
      </c>
      <c r="BC39" s="99">
        <f>(AZ39*F.Emissió!AF9)</f>
        <v>0</v>
      </c>
      <c r="BD39" s="99">
        <f>(AZ39*F.Emissió!AG9)</f>
        <v>0</v>
      </c>
      <c r="BE39" s="100">
        <f t="shared" si="58"/>
        <v>0</v>
      </c>
      <c r="BF39" s="101">
        <f t="shared" si="59"/>
        <v>0</v>
      </c>
      <c r="BG39" s="106">
        <f t="shared" si="60"/>
        <v>0</v>
      </c>
      <c r="BH39" s="154">
        <f t="shared" si="87"/>
        <v>0</v>
      </c>
      <c r="BI39" s="154">
        <f t="shared" si="88"/>
        <v>0</v>
      </c>
      <c r="BJ39" s="154">
        <f t="shared" si="89"/>
        <v>0</v>
      </c>
      <c r="BK39" s="159">
        <f>BJ39*F.Emissió!U9</f>
        <v>0</v>
      </c>
      <c r="BL39" s="159">
        <f>BJ39*F.Emissió!AH9</f>
        <v>0</v>
      </c>
      <c r="BM39" s="159">
        <f>BJ39*F.Emissió!AI9</f>
        <v>0</v>
      </c>
      <c r="BN39" s="159">
        <f>BJ39*F.Emissió!AJ9</f>
        <v>0</v>
      </c>
      <c r="BO39" s="100">
        <f t="shared" si="61"/>
        <v>0</v>
      </c>
      <c r="BP39" s="100">
        <f t="shared" si="62"/>
        <v>0</v>
      </c>
      <c r="BQ39" s="143">
        <f t="shared" si="63"/>
        <v>0</v>
      </c>
      <c r="BR39" s="98">
        <f>F.Distribució!AD10</f>
        <v>1</v>
      </c>
      <c r="BS39" s="94">
        <f>F.Distribució!AE10</f>
        <v>0</v>
      </c>
      <c r="BT39" s="98">
        <f>F.Distribució!AF10</f>
        <v>1</v>
      </c>
      <c r="BU39" s="131">
        <f>F.Distribució!AG10</f>
        <v>0</v>
      </c>
      <c r="BV39" s="116">
        <f t="shared" ref="BV39:BV42" si="111">BE39*BR39+AG39*AN39+AI39*AR39+T39*AW39</f>
        <v>0</v>
      </c>
      <c r="BW39" s="116">
        <f t="shared" si="90"/>
        <v>0</v>
      </c>
      <c r="BX39" s="117">
        <f>BW39*F.Emissió!X9</f>
        <v>0</v>
      </c>
      <c r="BY39" s="100">
        <f t="shared" si="91"/>
        <v>0</v>
      </c>
      <c r="BZ39" s="101">
        <f t="shared" si="92"/>
        <v>0</v>
      </c>
      <c r="CA39" s="163">
        <f t="shared" si="93"/>
        <v>0</v>
      </c>
      <c r="CB39" s="154">
        <f t="shared" si="94"/>
        <v>0</v>
      </c>
      <c r="CC39" s="162">
        <f>CB39*F.Emissió!AA9</f>
        <v>0</v>
      </c>
      <c r="CD39" s="160">
        <f t="shared" si="95"/>
        <v>0</v>
      </c>
      <c r="CE39" s="169">
        <f t="shared" si="96"/>
        <v>0</v>
      </c>
      <c r="CF39" s="171">
        <f t="shared" si="97"/>
        <v>0</v>
      </c>
      <c r="CG39" s="169">
        <f t="shared" si="98"/>
        <v>0</v>
      </c>
      <c r="CH39" s="163">
        <f t="shared" si="99"/>
        <v>0</v>
      </c>
      <c r="CI39" s="156">
        <f t="shared" si="100"/>
        <v>0</v>
      </c>
      <c r="CJ39" s="159">
        <f t="shared" si="101"/>
        <v>0</v>
      </c>
      <c r="CK39" s="159">
        <f t="shared" si="102"/>
        <v>0</v>
      </c>
      <c r="CL39" s="159">
        <f t="shared" si="103"/>
        <v>0</v>
      </c>
      <c r="CM39" s="164">
        <f t="shared" si="64"/>
        <v>0</v>
      </c>
      <c r="CN39" s="164">
        <f t="shared" si="104"/>
        <v>0</v>
      </c>
      <c r="CO39" s="164">
        <f t="shared" si="105"/>
        <v>0</v>
      </c>
      <c r="CP39" s="106">
        <f t="shared" si="106"/>
        <v>0</v>
      </c>
    </row>
    <row r="40" spans="1:94" x14ac:dyDescent="0.3">
      <c r="A40" s="6" t="s">
        <v>439</v>
      </c>
      <c r="B40" s="285" t="s">
        <v>314</v>
      </c>
      <c r="C40" s="107">
        <f>Dades!E31</f>
        <v>0</v>
      </c>
      <c r="D40" s="130">
        <v>13.2</v>
      </c>
      <c r="E40" s="154">
        <f t="shared" si="65"/>
        <v>0</v>
      </c>
      <c r="F40" s="94">
        <f>F.Distribució!D11</f>
        <v>0.67803030303030298</v>
      </c>
      <c r="G40" s="131">
        <f t="shared" si="66"/>
        <v>0</v>
      </c>
      <c r="H40" s="98">
        <f>F.Distribució!E11</f>
        <v>0</v>
      </c>
      <c r="I40" s="94">
        <f>F.Distribució!F11</f>
        <v>0</v>
      </c>
      <c r="J40" s="131">
        <f>F.Distribució!G11</f>
        <v>1</v>
      </c>
      <c r="K40" s="94">
        <f t="shared" si="67"/>
        <v>0</v>
      </c>
      <c r="L40" s="94">
        <f t="shared" si="68"/>
        <v>0</v>
      </c>
      <c r="M40" s="99">
        <f>L40*F.Emissió!D10</f>
        <v>0</v>
      </c>
      <c r="N40" s="100">
        <f t="shared" si="69"/>
        <v>0</v>
      </c>
      <c r="O40" s="101">
        <f t="shared" si="70"/>
        <v>0</v>
      </c>
      <c r="P40" s="102">
        <f t="shared" si="107"/>
        <v>0</v>
      </c>
      <c r="Q40" s="98">
        <f t="shared" si="71"/>
        <v>0</v>
      </c>
      <c r="R40" s="94">
        <f t="shared" si="72"/>
        <v>0</v>
      </c>
      <c r="S40" s="99">
        <f>R40*F.Emissió!G10</f>
        <v>0</v>
      </c>
      <c r="T40" s="100">
        <f t="shared" si="73"/>
        <v>0</v>
      </c>
      <c r="U40" s="101">
        <f t="shared" si="74"/>
        <v>0</v>
      </c>
      <c r="V40" s="102">
        <f t="shared" si="108"/>
        <v>0</v>
      </c>
      <c r="W40" s="98">
        <f>F.Distribució!H11</f>
        <v>0</v>
      </c>
      <c r="X40" s="94">
        <f>F.Distribució!I11</f>
        <v>1</v>
      </c>
      <c r="Y40" s="94">
        <f t="shared" si="109"/>
        <v>0</v>
      </c>
      <c r="Z40" s="154">
        <f t="shared" si="76"/>
        <v>0</v>
      </c>
      <c r="AA40" s="154">
        <f t="shared" si="77"/>
        <v>0</v>
      </c>
      <c r="AB40" s="156">
        <f t="shared" si="78"/>
        <v>0</v>
      </c>
      <c r="AC40" s="115">
        <f t="shared" si="110"/>
        <v>0</v>
      </c>
      <c r="AD40" s="159">
        <f>AA40*F.Emissió!J10</f>
        <v>0</v>
      </c>
      <c r="AE40" s="159">
        <f>AB40*F.Emissió!N10</f>
        <v>0</v>
      </c>
      <c r="AF40" s="105">
        <f>F.Distribució!J11</f>
        <v>0</v>
      </c>
      <c r="AG40" s="160">
        <f t="shared" si="80"/>
        <v>0</v>
      </c>
      <c r="AH40" s="160">
        <f t="shared" si="81"/>
        <v>0</v>
      </c>
      <c r="AI40" s="160">
        <f t="shared" si="82"/>
        <v>0</v>
      </c>
      <c r="AJ40" s="160">
        <f t="shared" si="83"/>
        <v>0</v>
      </c>
      <c r="AK40" s="143">
        <f t="shared" si="84"/>
        <v>0</v>
      </c>
      <c r="AL40" s="98">
        <f>F.Distribució!L11</f>
        <v>0</v>
      </c>
      <c r="AM40" s="94">
        <f>F.Distribució!M11</f>
        <v>0</v>
      </c>
      <c r="AN40" s="94">
        <f>F.Distribució!N11</f>
        <v>0</v>
      </c>
      <c r="AO40" s="94">
        <f>F.Distribució!O11</f>
        <v>0</v>
      </c>
      <c r="AP40" s="98">
        <f>F.Distribució!R11</f>
        <v>0</v>
      </c>
      <c r="AQ40" s="94">
        <f>F.Distribució!S11</f>
        <v>1</v>
      </c>
      <c r="AR40" s="94">
        <f>F.Distribució!U11</f>
        <v>0</v>
      </c>
      <c r="AS40" s="94">
        <f>F.Distribució!V11</f>
        <v>0</v>
      </c>
      <c r="AT40" s="94">
        <f>F.Distribució!W11</f>
        <v>0</v>
      </c>
      <c r="AU40" s="98">
        <f>F.Distribució!Y11</f>
        <v>0</v>
      </c>
      <c r="AV40" s="94">
        <f>F.Distribució!Z11</f>
        <v>0</v>
      </c>
      <c r="AW40" s="94">
        <f>F.Distribució!AA11</f>
        <v>0</v>
      </c>
      <c r="AX40" s="131">
        <f>F.Distribució!AB11</f>
        <v>0</v>
      </c>
      <c r="AY40" s="94">
        <f t="shared" si="85"/>
        <v>0</v>
      </c>
      <c r="AZ40" s="94">
        <f t="shared" si="86"/>
        <v>0</v>
      </c>
      <c r="BA40" s="99">
        <f>AZ40*F.Emissió!R10</f>
        <v>0</v>
      </c>
      <c r="BB40" s="99">
        <f>(AZ40*F.Emissió!AE10)</f>
        <v>0</v>
      </c>
      <c r="BC40" s="99">
        <f>(AZ40*F.Emissió!AF10)</f>
        <v>0</v>
      </c>
      <c r="BD40" s="99">
        <f>(AZ40*F.Emissió!AG10)</f>
        <v>0</v>
      </c>
      <c r="BE40" s="100">
        <f t="shared" si="58"/>
        <v>0</v>
      </c>
      <c r="BF40" s="101">
        <f t="shared" si="59"/>
        <v>0</v>
      </c>
      <c r="BG40" s="106">
        <f t="shared" si="60"/>
        <v>0</v>
      </c>
      <c r="BH40" s="154">
        <f t="shared" si="87"/>
        <v>0</v>
      </c>
      <c r="BI40" s="154">
        <f t="shared" si="88"/>
        <v>0</v>
      </c>
      <c r="BJ40" s="154">
        <f t="shared" si="89"/>
        <v>0</v>
      </c>
      <c r="BK40" s="159">
        <f>BJ40*F.Emissió!U10</f>
        <v>0</v>
      </c>
      <c r="BL40" s="159">
        <f>BJ40*F.Emissió!AH10</f>
        <v>0</v>
      </c>
      <c r="BM40" s="159">
        <f>BJ40*F.Emissió!AI10</f>
        <v>0</v>
      </c>
      <c r="BN40" s="159">
        <f>BJ40*F.Emissió!AJ10</f>
        <v>0</v>
      </c>
      <c r="BO40" s="100">
        <f t="shared" si="61"/>
        <v>0</v>
      </c>
      <c r="BP40" s="100">
        <f t="shared" si="62"/>
        <v>0</v>
      </c>
      <c r="BQ40" s="143">
        <f t="shared" si="63"/>
        <v>0</v>
      </c>
      <c r="BR40" s="98">
        <f>F.Distribució!AD11</f>
        <v>1</v>
      </c>
      <c r="BS40" s="94">
        <f>F.Distribució!AE11</f>
        <v>0</v>
      </c>
      <c r="BT40" s="98">
        <f>F.Distribució!AF11</f>
        <v>1</v>
      </c>
      <c r="BU40" s="131">
        <f>F.Distribució!AG11</f>
        <v>0</v>
      </c>
      <c r="BV40" s="116">
        <f t="shared" si="111"/>
        <v>0</v>
      </c>
      <c r="BW40" s="116">
        <f t="shared" si="90"/>
        <v>0</v>
      </c>
      <c r="BX40" s="117">
        <f>BW40*F.Emissió!X10</f>
        <v>0</v>
      </c>
      <c r="BY40" s="100">
        <f t="shared" si="91"/>
        <v>0</v>
      </c>
      <c r="BZ40" s="101">
        <f t="shared" si="92"/>
        <v>0</v>
      </c>
      <c r="CA40" s="163">
        <f t="shared" si="93"/>
        <v>0</v>
      </c>
      <c r="CB40" s="154">
        <f t="shared" si="94"/>
        <v>0</v>
      </c>
      <c r="CC40" s="162">
        <f>CB40*F.Emissió!AA10</f>
        <v>0</v>
      </c>
      <c r="CD40" s="160">
        <f t="shared" si="95"/>
        <v>0</v>
      </c>
      <c r="CE40" s="169">
        <f t="shared" si="96"/>
        <v>0</v>
      </c>
      <c r="CF40" s="171">
        <f t="shared" si="97"/>
        <v>0</v>
      </c>
      <c r="CG40" s="169">
        <f t="shared" si="98"/>
        <v>0</v>
      </c>
      <c r="CH40" s="163">
        <f t="shared" si="99"/>
        <v>0</v>
      </c>
      <c r="CI40" s="156">
        <f t="shared" si="100"/>
        <v>0</v>
      </c>
      <c r="CJ40" s="159">
        <f t="shared" si="101"/>
        <v>0</v>
      </c>
      <c r="CK40" s="159">
        <f t="shared" si="102"/>
        <v>0</v>
      </c>
      <c r="CL40" s="159">
        <f t="shared" si="103"/>
        <v>0</v>
      </c>
      <c r="CM40" s="164">
        <f t="shared" si="64"/>
        <v>0</v>
      </c>
      <c r="CN40" s="164">
        <f t="shared" si="104"/>
        <v>0</v>
      </c>
      <c r="CO40" s="164">
        <f t="shared" si="105"/>
        <v>0</v>
      </c>
      <c r="CP40" s="106">
        <f t="shared" si="106"/>
        <v>0</v>
      </c>
    </row>
    <row r="41" spans="1:94" hidden="1" x14ac:dyDescent="0.3">
      <c r="A41" s="6" t="s">
        <v>439</v>
      </c>
      <c r="B41" s="2"/>
      <c r="C41" s="107"/>
      <c r="D41" s="130"/>
      <c r="E41" s="154"/>
      <c r="F41" s="94"/>
      <c r="G41" s="131"/>
      <c r="H41" s="98"/>
      <c r="I41" s="94"/>
      <c r="J41" s="131"/>
      <c r="K41" s="94"/>
      <c r="L41" s="94"/>
      <c r="M41" s="99"/>
      <c r="N41" s="100"/>
      <c r="O41" s="101"/>
      <c r="P41" s="102"/>
      <c r="Q41" s="98"/>
      <c r="R41" s="94"/>
      <c r="S41" s="99"/>
      <c r="T41" s="100"/>
      <c r="U41" s="101"/>
      <c r="V41" s="102"/>
      <c r="W41" s="98"/>
      <c r="X41" s="94"/>
      <c r="Y41" s="94"/>
      <c r="Z41" s="154"/>
      <c r="AA41" s="154"/>
      <c r="AB41" s="156"/>
      <c r="AC41" s="115"/>
      <c r="AD41" s="159"/>
      <c r="AE41" s="159"/>
      <c r="AF41" s="105"/>
      <c r="AG41" s="160"/>
      <c r="AH41" s="160"/>
      <c r="AI41" s="160"/>
      <c r="AJ41" s="160"/>
      <c r="AK41" s="143"/>
      <c r="AL41" s="98"/>
      <c r="AM41" s="94"/>
      <c r="AN41" s="94"/>
      <c r="AO41" s="94"/>
      <c r="AP41" s="98"/>
      <c r="AQ41" s="94"/>
      <c r="AR41" s="94"/>
      <c r="AS41" s="94"/>
      <c r="AT41" s="94"/>
      <c r="AU41" s="98"/>
      <c r="AV41" s="94"/>
      <c r="AW41" s="94"/>
      <c r="AX41" s="131"/>
      <c r="AY41" s="94"/>
      <c r="AZ41" s="94"/>
      <c r="BA41" s="99"/>
      <c r="BB41" s="99"/>
      <c r="BC41" s="99"/>
      <c r="BD41" s="99"/>
      <c r="BE41" s="100"/>
      <c r="BF41" s="101"/>
      <c r="BG41" s="106"/>
      <c r="BH41" s="154"/>
      <c r="BI41" s="154"/>
      <c r="BJ41" s="154"/>
      <c r="BK41" s="159"/>
      <c r="BL41" s="159"/>
      <c r="BM41" s="159"/>
      <c r="BN41" s="159"/>
      <c r="BO41" s="100"/>
      <c r="BP41" s="100"/>
      <c r="BQ41" s="143"/>
      <c r="BR41" s="98"/>
      <c r="BS41" s="94"/>
      <c r="BT41" s="98"/>
      <c r="BU41" s="131"/>
      <c r="BV41" s="116"/>
      <c r="BW41" s="116"/>
      <c r="BX41" s="117"/>
      <c r="BY41" s="100"/>
      <c r="BZ41" s="101"/>
      <c r="CA41" s="163"/>
      <c r="CB41" s="154"/>
      <c r="CC41" s="162"/>
      <c r="CD41" s="160"/>
      <c r="CE41" s="169"/>
      <c r="CF41" s="171"/>
      <c r="CG41" s="169"/>
      <c r="CH41" s="163"/>
      <c r="CI41" s="156"/>
      <c r="CJ41" s="159"/>
      <c r="CK41" s="159"/>
      <c r="CL41" s="159"/>
      <c r="CM41" s="164"/>
      <c r="CN41" s="164"/>
      <c r="CO41" s="164"/>
      <c r="CP41" s="106"/>
    </row>
    <row r="42" spans="1:94" x14ac:dyDescent="0.3">
      <c r="A42" s="6" t="s">
        <v>439</v>
      </c>
      <c r="B42" s="285" t="s">
        <v>312</v>
      </c>
      <c r="C42" s="107">
        <f>Dades!E33</f>
        <v>0</v>
      </c>
      <c r="D42" s="357">
        <v>19.329999999999998</v>
      </c>
      <c r="E42" s="154">
        <f t="shared" si="65"/>
        <v>0</v>
      </c>
      <c r="F42" s="94">
        <f>F.Distribució!D13</f>
        <v>0.73439490445859867</v>
      </c>
      <c r="G42" s="131">
        <f t="shared" si="66"/>
        <v>0</v>
      </c>
      <c r="H42" s="98">
        <f>F.Distribució!E13</f>
        <v>0</v>
      </c>
      <c r="I42" s="94">
        <f>F.Distribució!F13</f>
        <v>0</v>
      </c>
      <c r="J42" s="131">
        <f>F.Distribució!G13</f>
        <v>1</v>
      </c>
      <c r="K42" s="94">
        <f t="shared" si="67"/>
        <v>0</v>
      </c>
      <c r="L42" s="94">
        <f t="shared" si="68"/>
        <v>0</v>
      </c>
      <c r="M42" s="99">
        <f>L42*F.Emissió!D12</f>
        <v>0</v>
      </c>
      <c r="N42" s="100">
        <f t="shared" si="69"/>
        <v>0</v>
      </c>
      <c r="O42" s="101">
        <f t="shared" si="70"/>
        <v>0</v>
      </c>
      <c r="P42" s="102">
        <f t="shared" si="107"/>
        <v>0</v>
      </c>
      <c r="Q42" s="98">
        <f t="shared" si="71"/>
        <v>0</v>
      </c>
      <c r="R42" s="94">
        <f t="shared" si="72"/>
        <v>0</v>
      </c>
      <c r="S42" s="99">
        <f>R42*F.Emissió!G12</f>
        <v>0</v>
      </c>
      <c r="T42" s="100">
        <f t="shared" si="73"/>
        <v>0</v>
      </c>
      <c r="U42" s="101">
        <f t="shared" si="74"/>
        <v>0</v>
      </c>
      <c r="V42" s="102">
        <f t="shared" si="108"/>
        <v>0</v>
      </c>
      <c r="W42" s="98">
        <f>F.Distribució!H13</f>
        <v>0</v>
      </c>
      <c r="X42" s="94">
        <f>F.Distribució!I13</f>
        <v>1</v>
      </c>
      <c r="Y42" s="94">
        <f t="shared" si="109"/>
        <v>0</v>
      </c>
      <c r="Z42" s="154">
        <f t="shared" si="76"/>
        <v>0</v>
      </c>
      <c r="AA42" s="154">
        <f t="shared" si="77"/>
        <v>0</v>
      </c>
      <c r="AB42" s="156">
        <f t="shared" si="78"/>
        <v>0</v>
      </c>
      <c r="AC42" s="115">
        <f t="shared" si="110"/>
        <v>0</v>
      </c>
      <c r="AD42" s="159">
        <f>AA42*F.Emissió!J12</f>
        <v>0</v>
      </c>
      <c r="AE42" s="159">
        <f>AB42*F.Emissió!N12</f>
        <v>0</v>
      </c>
      <c r="AF42" s="105">
        <f>F.Distribució!J13</f>
        <v>0</v>
      </c>
      <c r="AG42" s="160">
        <f t="shared" si="80"/>
        <v>0</v>
      </c>
      <c r="AH42" s="160">
        <f t="shared" si="81"/>
        <v>0</v>
      </c>
      <c r="AI42" s="160">
        <f t="shared" si="82"/>
        <v>0</v>
      </c>
      <c r="AJ42" s="160">
        <f t="shared" si="83"/>
        <v>0</v>
      </c>
      <c r="AK42" s="143">
        <f t="shared" si="84"/>
        <v>0</v>
      </c>
      <c r="AL42" s="98">
        <f>F.Distribució!L13</f>
        <v>0</v>
      </c>
      <c r="AM42" s="94">
        <f>F.Distribució!M13</f>
        <v>0</v>
      </c>
      <c r="AN42" s="94">
        <f>F.Distribució!N13</f>
        <v>0</v>
      </c>
      <c r="AO42" s="94">
        <f>F.Distribució!O13</f>
        <v>0</v>
      </c>
      <c r="AP42" s="98">
        <f>F.Distribució!R13</f>
        <v>0</v>
      </c>
      <c r="AQ42" s="94">
        <f>F.Distribució!S13</f>
        <v>1</v>
      </c>
      <c r="AR42" s="94">
        <f>F.Distribució!U13</f>
        <v>0</v>
      </c>
      <c r="AS42" s="94">
        <f>F.Distribució!V13</f>
        <v>0</v>
      </c>
      <c r="AT42" s="94">
        <f>F.Distribució!W13</f>
        <v>0</v>
      </c>
      <c r="AU42" s="98">
        <f>F.Distribució!Y13</f>
        <v>0</v>
      </c>
      <c r="AV42" s="94">
        <f>F.Distribució!Z13</f>
        <v>0</v>
      </c>
      <c r="AW42" s="94">
        <f>F.Distribució!AA13</f>
        <v>0</v>
      </c>
      <c r="AX42" s="131">
        <f>F.Distribució!AB13</f>
        <v>0</v>
      </c>
      <c r="AY42" s="94">
        <f t="shared" si="85"/>
        <v>0</v>
      </c>
      <c r="AZ42" s="94">
        <f t="shared" si="86"/>
        <v>0</v>
      </c>
      <c r="BA42" s="99">
        <f>AZ42*F.Emissió!R12</f>
        <v>0</v>
      </c>
      <c r="BB42" s="99">
        <f>(AZ42*F.Emissió!AE12)</f>
        <v>0</v>
      </c>
      <c r="BC42" s="99">
        <f>(AZ42*F.Emissió!AF12)</f>
        <v>0</v>
      </c>
      <c r="BD42" s="99">
        <f>(AZ42*F.Emissió!AG12)</f>
        <v>0</v>
      </c>
      <c r="BE42" s="100">
        <f t="shared" si="58"/>
        <v>0</v>
      </c>
      <c r="BF42" s="101">
        <f t="shared" si="59"/>
        <v>0</v>
      </c>
      <c r="BG42" s="106">
        <f t="shared" si="60"/>
        <v>0</v>
      </c>
      <c r="BH42" s="154">
        <f t="shared" si="87"/>
        <v>0</v>
      </c>
      <c r="BI42" s="154">
        <f t="shared" si="88"/>
        <v>0</v>
      </c>
      <c r="BJ42" s="154">
        <f t="shared" si="89"/>
        <v>0</v>
      </c>
      <c r="BK42" s="159">
        <f>BJ42*F.Emissió!U12</f>
        <v>0</v>
      </c>
      <c r="BL42" s="159">
        <f>BJ42*F.Emissió!AH12</f>
        <v>0</v>
      </c>
      <c r="BM42" s="159">
        <f>BJ42*F.Emissió!AI12</f>
        <v>0</v>
      </c>
      <c r="BN42" s="159">
        <f>BJ42*F.Emissió!AJ12</f>
        <v>0</v>
      </c>
      <c r="BO42" s="100">
        <f t="shared" si="61"/>
        <v>0</v>
      </c>
      <c r="BP42" s="100">
        <f t="shared" si="62"/>
        <v>0</v>
      </c>
      <c r="BQ42" s="143">
        <f t="shared" si="63"/>
        <v>0</v>
      </c>
      <c r="BR42" s="98">
        <f>F.Distribució!AD13</f>
        <v>1</v>
      </c>
      <c r="BS42" s="94">
        <f>F.Distribució!AE13</f>
        <v>0</v>
      </c>
      <c r="BT42" s="98">
        <f>F.Distribució!AF13</f>
        <v>1</v>
      </c>
      <c r="BU42" s="131">
        <f>F.Distribució!AG13</f>
        <v>0</v>
      </c>
      <c r="BV42" s="116">
        <f t="shared" si="111"/>
        <v>0</v>
      </c>
      <c r="BW42" s="116">
        <f t="shared" si="90"/>
        <v>0</v>
      </c>
      <c r="BX42" s="117">
        <f>BW42*F.Emissió!X12</f>
        <v>0</v>
      </c>
      <c r="BY42" s="100">
        <f t="shared" si="91"/>
        <v>0</v>
      </c>
      <c r="BZ42" s="101">
        <f t="shared" si="92"/>
        <v>0</v>
      </c>
      <c r="CA42" s="163">
        <f t="shared" si="93"/>
        <v>0</v>
      </c>
      <c r="CB42" s="154">
        <f t="shared" si="94"/>
        <v>0</v>
      </c>
      <c r="CC42" s="162">
        <f>CB42*F.Emissió!AA12</f>
        <v>0</v>
      </c>
      <c r="CD42" s="160">
        <f t="shared" si="95"/>
        <v>0</v>
      </c>
      <c r="CE42" s="169">
        <f t="shared" si="96"/>
        <v>0</v>
      </c>
      <c r="CF42" s="171">
        <f t="shared" si="97"/>
        <v>0</v>
      </c>
      <c r="CG42" s="169">
        <f t="shared" si="98"/>
        <v>0</v>
      </c>
      <c r="CH42" s="163">
        <f t="shared" si="99"/>
        <v>0</v>
      </c>
      <c r="CI42" s="156">
        <f t="shared" si="100"/>
        <v>0</v>
      </c>
      <c r="CJ42" s="159">
        <f t="shared" si="101"/>
        <v>0</v>
      </c>
      <c r="CK42" s="159">
        <f t="shared" si="102"/>
        <v>0</v>
      </c>
      <c r="CL42" s="159">
        <f t="shared" si="103"/>
        <v>0</v>
      </c>
      <c r="CM42" s="164">
        <f t="shared" si="64"/>
        <v>0</v>
      </c>
      <c r="CN42" s="164">
        <f t="shared" si="104"/>
        <v>0</v>
      </c>
      <c r="CO42" s="164">
        <f t="shared" si="105"/>
        <v>0</v>
      </c>
      <c r="CP42" s="265">
        <f t="shared" si="106"/>
        <v>0</v>
      </c>
    </row>
    <row r="43" spans="1:94" hidden="1" x14ac:dyDescent="0.3">
      <c r="A43" s="6"/>
      <c r="B43" s="2"/>
      <c r="C43" s="107"/>
      <c r="D43" s="130"/>
      <c r="E43" s="154"/>
      <c r="F43" s="94"/>
      <c r="G43" s="131"/>
      <c r="H43" s="98"/>
      <c r="I43" s="94"/>
      <c r="J43" s="131"/>
      <c r="K43" s="94"/>
      <c r="L43" s="94"/>
      <c r="M43" s="99"/>
      <c r="N43" s="100"/>
      <c r="O43" s="101"/>
      <c r="P43" s="102"/>
      <c r="Q43" s="98"/>
      <c r="R43" s="94"/>
      <c r="S43" s="99"/>
      <c r="T43" s="100"/>
      <c r="U43" s="101"/>
      <c r="V43" s="102"/>
      <c r="W43" s="98"/>
      <c r="X43" s="94"/>
      <c r="Y43" s="94"/>
      <c r="Z43" s="154"/>
      <c r="AA43" s="154"/>
      <c r="AB43" s="156"/>
      <c r="AC43" s="115"/>
      <c r="AD43" s="159"/>
      <c r="AE43" s="159"/>
      <c r="AF43" s="105"/>
      <c r="AG43" s="160"/>
      <c r="AH43" s="160"/>
      <c r="AI43" s="160"/>
      <c r="AJ43" s="160"/>
      <c r="AK43" s="143"/>
      <c r="AL43" s="98"/>
      <c r="AM43" s="94"/>
      <c r="AN43" s="94"/>
      <c r="AO43" s="94"/>
      <c r="AP43" s="98"/>
      <c r="AQ43" s="94"/>
      <c r="AR43" s="94"/>
      <c r="AS43" s="94"/>
      <c r="AT43" s="94"/>
      <c r="AU43" s="98"/>
      <c r="AV43" s="94"/>
      <c r="AW43" s="94"/>
      <c r="AX43" s="131"/>
      <c r="AY43" s="94"/>
      <c r="AZ43" s="94"/>
      <c r="BA43" s="99"/>
      <c r="BB43" s="99"/>
      <c r="BC43" s="99"/>
      <c r="BD43" s="99"/>
      <c r="BE43" s="100"/>
      <c r="BF43" s="101"/>
      <c r="BG43" s="106"/>
      <c r="BH43" s="154"/>
      <c r="BI43" s="154"/>
      <c r="BJ43" s="154"/>
      <c r="BK43" s="159"/>
      <c r="BL43" s="159"/>
      <c r="BM43" s="159"/>
      <c r="BN43" s="159"/>
      <c r="BO43" s="100"/>
      <c r="BP43" s="100"/>
      <c r="BQ43" s="143"/>
      <c r="BR43" s="98"/>
      <c r="BS43" s="94"/>
      <c r="BT43" s="98"/>
      <c r="BU43" s="131"/>
      <c r="BV43" s="116"/>
      <c r="BW43" s="116"/>
      <c r="BX43" s="117"/>
      <c r="BY43" s="100"/>
      <c r="BZ43" s="101"/>
      <c r="CA43" s="163"/>
      <c r="CB43" s="154"/>
      <c r="CC43" s="162"/>
      <c r="CD43" s="160"/>
      <c r="CE43" s="169"/>
      <c r="CF43" s="171"/>
      <c r="CG43" s="169"/>
      <c r="CH43" s="163"/>
      <c r="CI43" s="156"/>
      <c r="CJ43" s="159"/>
      <c r="CK43" s="159"/>
      <c r="CL43" s="159"/>
      <c r="CM43" s="164"/>
      <c r="CN43" s="164"/>
      <c r="CO43" s="164"/>
      <c r="CP43" s="106"/>
    </row>
    <row r="44" spans="1:94" hidden="1" x14ac:dyDescent="0.3">
      <c r="A44" s="6"/>
      <c r="B44" s="2"/>
      <c r="C44" s="107"/>
      <c r="D44" s="130"/>
      <c r="E44" s="154"/>
      <c r="F44" s="94"/>
      <c r="G44" s="131"/>
      <c r="H44" s="98"/>
      <c r="I44" s="94"/>
      <c r="J44" s="131"/>
      <c r="K44" s="94"/>
      <c r="L44" s="94"/>
      <c r="M44" s="99"/>
      <c r="N44" s="100"/>
      <c r="O44" s="101"/>
      <c r="P44" s="102"/>
      <c r="Q44" s="98"/>
      <c r="R44" s="94"/>
      <c r="S44" s="99"/>
      <c r="T44" s="100"/>
      <c r="U44" s="101"/>
      <c r="V44" s="102"/>
      <c r="W44" s="98"/>
      <c r="X44" s="94"/>
      <c r="Y44" s="94"/>
      <c r="Z44" s="154"/>
      <c r="AA44" s="154"/>
      <c r="AB44" s="156"/>
      <c r="AC44" s="115"/>
      <c r="AD44" s="159"/>
      <c r="AE44" s="159"/>
      <c r="AF44" s="105"/>
      <c r="AG44" s="160"/>
      <c r="AH44" s="160"/>
      <c r="AI44" s="160"/>
      <c r="AJ44" s="160"/>
      <c r="AK44" s="143"/>
      <c r="AL44" s="98"/>
      <c r="AM44" s="94"/>
      <c r="AN44" s="94"/>
      <c r="AO44" s="94"/>
      <c r="AP44" s="98"/>
      <c r="AQ44" s="94"/>
      <c r="AR44" s="94"/>
      <c r="AS44" s="94"/>
      <c r="AT44" s="94"/>
      <c r="AU44" s="98"/>
      <c r="AV44" s="94"/>
      <c r="AW44" s="94"/>
      <c r="AX44" s="131"/>
      <c r="AY44" s="94"/>
      <c r="AZ44" s="94"/>
      <c r="BA44" s="99"/>
      <c r="BB44" s="99"/>
      <c r="BC44" s="99"/>
      <c r="BD44" s="99"/>
      <c r="BE44" s="100"/>
      <c r="BF44" s="101"/>
      <c r="BG44" s="106"/>
      <c r="BH44" s="154"/>
      <c r="BI44" s="154"/>
      <c r="BJ44" s="154"/>
      <c r="BK44" s="159"/>
      <c r="BL44" s="159"/>
      <c r="BM44" s="159"/>
      <c r="BN44" s="159"/>
      <c r="BO44" s="100"/>
      <c r="BP44" s="100"/>
      <c r="BQ44" s="143"/>
      <c r="BR44" s="98"/>
      <c r="BS44" s="94"/>
      <c r="BT44" s="98"/>
      <c r="BU44" s="131"/>
      <c r="BV44" s="116"/>
      <c r="BW44" s="116"/>
      <c r="BX44" s="117"/>
      <c r="BY44" s="100"/>
      <c r="BZ44" s="101"/>
      <c r="CA44" s="163"/>
      <c r="CB44" s="154"/>
      <c r="CC44" s="162"/>
      <c r="CD44" s="160"/>
      <c r="CE44" s="169"/>
      <c r="CF44" s="171"/>
      <c r="CG44" s="169"/>
      <c r="CH44" s="163"/>
      <c r="CI44" s="156"/>
      <c r="CJ44" s="159"/>
      <c r="CK44" s="159"/>
      <c r="CL44" s="159"/>
      <c r="CM44" s="164"/>
      <c r="CN44" s="164"/>
      <c r="CO44" s="164"/>
      <c r="CP44" s="106"/>
    </row>
    <row r="45" spans="1:94" hidden="1" x14ac:dyDescent="0.3">
      <c r="A45" s="6"/>
      <c r="B45" s="2"/>
      <c r="C45" s="107"/>
      <c r="D45" s="130"/>
      <c r="E45" s="154"/>
      <c r="F45" s="94"/>
      <c r="G45" s="131"/>
      <c r="H45" s="98"/>
      <c r="I45" s="94"/>
      <c r="J45" s="131"/>
      <c r="K45" s="94"/>
      <c r="L45" s="94"/>
      <c r="M45" s="99"/>
      <c r="N45" s="100"/>
      <c r="O45" s="101"/>
      <c r="P45" s="102"/>
      <c r="Q45" s="98"/>
      <c r="R45" s="94"/>
      <c r="S45" s="99"/>
      <c r="T45" s="100"/>
      <c r="U45" s="101"/>
      <c r="V45" s="102"/>
      <c r="W45" s="98"/>
      <c r="X45" s="94"/>
      <c r="Y45" s="94"/>
      <c r="Z45" s="154"/>
      <c r="AA45" s="154"/>
      <c r="AB45" s="156"/>
      <c r="AC45" s="115"/>
      <c r="AD45" s="159"/>
      <c r="AE45" s="159"/>
      <c r="AF45" s="105"/>
      <c r="AG45" s="160"/>
      <c r="AH45" s="160"/>
      <c r="AI45" s="160"/>
      <c r="AJ45" s="160"/>
      <c r="AK45" s="143"/>
      <c r="AL45" s="98"/>
      <c r="AM45" s="94"/>
      <c r="AN45" s="94"/>
      <c r="AO45" s="94"/>
      <c r="AP45" s="98"/>
      <c r="AQ45" s="94"/>
      <c r="AR45" s="94"/>
      <c r="AS45" s="94"/>
      <c r="AT45" s="94"/>
      <c r="AU45" s="98"/>
      <c r="AV45" s="94"/>
      <c r="AW45" s="94"/>
      <c r="AX45" s="131"/>
      <c r="AY45" s="94"/>
      <c r="AZ45" s="94"/>
      <c r="BA45" s="99"/>
      <c r="BB45" s="99"/>
      <c r="BC45" s="99"/>
      <c r="BD45" s="99"/>
      <c r="BE45" s="100"/>
      <c r="BF45" s="101"/>
      <c r="BG45" s="106"/>
      <c r="BH45" s="154"/>
      <c r="BI45" s="154"/>
      <c r="BJ45" s="154"/>
      <c r="BK45" s="159"/>
      <c r="BL45" s="159"/>
      <c r="BM45" s="159"/>
      <c r="BN45" s="159"/>
      <c r="BO45" s="100"/>
      <c r="BP45" s="100"/>
      <c r="BQ45" s="143"/>
      <c r="BR45" s="98"/>
      <c r="BS45" s="94"/>
      <c r="BT45" s="98"/>
      <c r="BU45" s="131"/>
      <c r="BV45" s="116"/>
      <c r="BW45" s="116"/>
      <c r="BX45" s="117"/>
      <c r="BY45" s="100"/>
      <c r="BZ45" s="101"/>
      <c r="CA45" s="163"/>
      <c r="CB45" s="154"/>
      <c r="CC45" s="162"/>
      <c r="CD45" s="160"/>
      <c r="CE45" s="169"/>
      <c r="CF45" s="171"/>
      <c r="CG45" s="169"/>
      <c r="CH45" s="163"/>
      <c r="CI45" s="156"/>
      <c r="CJ45" s="159"/>
      <c r="CK45" s="159"/>
      <c r="CL45" s="159"/>
      <c r="CM45" s="164"/>
      <c r="CN45" s="164"/>
      <c r="CO45" s="164"/>
      <c r="CP45" s="106"/>
    </row>
    <row r="46" spans="1:94" hidden="1" x14ac:dyDescent="0.3">
      <c r="A46" s="6"/>
      <c r="B46" s="2"/>
      <c r="C46" s="108"/>
      <c r="D46" s="132"/>
      <c r="E46" s="154"/>
      <c r="F46" s="94"/>
      <c r="G46" s="131"/>
      <c r="H46" s="98"/>
      <c r="I46" s="94"/>
      <c r="J46" s="131"/>
      <c r="K46" s="94"/>
      <c r="L46" s="94"/>
      <c r="M46" s="99"/>
      <c r="N46" s="100"/>
      <c r="O46" s="101"/>
      <c r="P46" s="102"/>
      <c r="Q46" s="98"/>
      <c r="R46" s="94"/>
      <c r="S46" s="99"/>
      <c r="T46" s="100"/>
      <c r="U46" s="101"/>
      <c r="V46" s="102"/>
      <c r="W46" s="145"/>
      <c r="X46" s="146"/>
      <c r="Y46" s="146"/>
      <c r="Z46" s="157"/>
      <c r="AA46" s="157"/>
      <c r="AB46" s="158"/>
      <c r="AC46" s="115"/>
      <c r="AD46" s="159"/>
      <c r="AE46" s="159"/>
      <c r="AF46" s="105"/>
      <c r="AG46" s="160"/>
      <c r="AH46" s="160"/>
      <c r="AI46" s="160"/>
      <c r="AJ46" s="160"/>
      <c r="AK46" s="143"/>
      <c r="AL46" s="145"/>
      <c r="AM46" s="146"/>
      <c r="AN46" s="146"/>
      <c r="AO46" s="146"/>
      <c r="AP46" s="145"/>
      <c r="AQ46" s="146"/>
      <c r="AR46" s="146"/>
      <c r="AS46" s="146"/>
      <c r="AT46" s="146"/>
      <c r="AU46" s="145"/>
      <c r="AV46" s="146"/>
      <c r="AW46" s="146"/>
      <c r="AX46" s="147"/>
      <c r="AY46" s="146"/>
      <c r="AZ46" s="146"/>
      <c r="BA46" s="149"/>
      <c r="BB46" s="149"/>
      <c r="BC46" s="149"/>
      <c r="BD46" s="149"/>
      <c r="BE46" s="150"/>
      <c r="BF46" s="151"/>
      <c r="BG46" s="106"/>
      <c r="BH46" s="154"/>
      <c r="BI46" s="154"/>
      <c r="BJ46" s="154"/>
      <c r="BK46" s="159"/>
      <c r="BL46" s="159"/>
      <c r="BM46" s="159"/>
      <c r="BN46" s="159"/>
      <c r="BO46" s="100"/>
      <c r="BP46" s="100"/>
      <c r="BQ46" s="143"/>
      <c r="BR46" s="145"/>
      <c r="BS46" s="146"/>
      <c r="BT46" s="145"/>
      <c r="BU46" s="147"/>
      <c r="BV46" s="116"/>
      <c r="BW46" s="116"/>
      <c r="BX46" s="117"/>
      <c r="BY46" s="100"/>
      <c r="BZ46" s="101"/>
      <c r="CA46" s="163"/>
      <c r="CB46" s="154"/>
      <c r="CC46" s="162"/>
      <c r="CD46" s="160"/>
      <c r="CE46" s="169"/>
      <c r="CF46" s="171"/>
      <c r="CG46" s="169"/>
      <c r="CH46" s="173"/>
      <c r="CI46" s="158"/>
      <c r="CJ46" s="159"/>
      <c r="CK46" s="159"/>
      <c r="CL46" s="159"/>
      <c r="CM46" s="164"/>
      <c r="CN46" s="164"/>
      <c r="CO46" s="164"/>
      <c r="CP46" s="265"/>
    </row>
    <row r="47" spans="1:94" ht="15.75" x14ac:dyDescent="0.3">
      <c r="A47" s="174" t="s">
        <v>191</v>
      </c>
      <c r="B47" s="176"/>
      <c r="C47" s="175">
        <f>SUM(C33:C46)</f>
        <v>0</v>
      </c>
      <c r="D47" s="242"/>
      <c r="E47" s="241">
        <f>SUM(E33:E46)</f>
        <v>0</v>
      </c>
      <c r="F47" s="242"/>
      <c r="G47" s="177">
        <f>SUM(G33:G46)</f>
        <v>0</v>
      </c>
      <c r="H47" s="243"/>
      <c r="I47" s="244"/>
      <c r="J47" s="245"/>
      <c r="K47" s="254">
        <f>SUM(K33:K46)</f>
        <v>0</v>
      </c>
      <c r="L47" s="254">
        <f>SUM(L33:L46)</f>
        <v>0</v>
      </c>
      <c r="M47" s="179">
        <f>SUM(M33:M46)</f>
        <v>0</v>
      </c>
      <c r="N47" s="255">
        <f>SUM(N33:N46)</f>
        <v>0</v>
      </c>
      <c r="O47" s="255">
        <f>SUM(O33:O46)</f>
        <v>0</v>
      </c>
      <c r="P47" s="246"/>
      <c r="Q47" s="178">
        <f>SUM(Q33:Q46)</f>
        <v>0</v>
      </c>
      <c r="R47" s="178">
        <f>SUM(R33:R46)</f>
        <v>0</v>
      </c>
      <c r="S47" s="179">
        <f>SUM(S33:S46)</f>
        <v>0</v>
      </c>
      <c r="T47" s="180">
        <f>SUM(T33:T46)</f>
        <v>0</v>
      </c>
      <c r="U47" s="180">
        <f>SUM(U33:U46)</f>
        <v>0</v>
      </c>
      <c r="V47" s="249"/>
      <c r="W47" s="247"/>
      <c r="X47" s="248"/>
      <c r="Y47" s="181">
        <f>SUM(Y33:Y46)</f>
        <v>0</v>
      </c>
      <c r="Z47" s="250">
        <f>SUM(Z33:Z46)</f>
        <v>0</v>
      </c>
      <c r="AA47" s="250">
        <f>SUM(AA33:AA46)</f>
        <v>0</v>
      </c>
      <c r="AB47" s="250">
        <f>SUM(AB33:AB46)</f>
        <v>0</v>
      </c>
      <c r="AC47" s="249"/>
      <c r="AD47" s="186">
        <f>SUM(AD33:AD46)</f>
        <v>0</v>
      </c>
      <c r="AE47" s="251">
        <f>SUM(AE33:AE46)</f>
        <v>0</v>
      </c>
      <c r="AF47" s="252"/>
      <c r="AG47" s="253">
        <f>SUM(AG33:AG46)</f>
        <v>0</v>
      </c>
      <c r="AH47" s="253">
        <f>SUM(AH33:AH46)</f>
        <v>0</v>
      </c>
      <c r="AI47" s="253">
        <f t="shared" ref="AI47:AJ47" si="112">SUM(AI33:AI46)</f>
        <v>0</v>
      </c>
      <c r="AJ47" s="253">
        <f t="shared" si="112"/>
        <v>0</v>
      </c>
      <c r="AK47" s="256"/>
      <c r="AL47" s="244"/>
      <c r="AM47" s="244"/>
      <c r="AN47" s="244"/>
      <c r="AO47" s="244"/>
      <c r="AP47" s="244"/>
      <c r="AQ47" s="244"/>
      <c r="AR47" s="244"/>
      <c r="AS47" s="244"/>
      <c r="AT47" s="244"/>
      <c r="AU47" s="244"/>
      <c r="AV47" s="244"/>
      <c r="AW47" s="244"/>
      <c r="AX47" s="245"/>
      <c r="AY47" s="257">
        <f>SUM(AY33:AY46)</f>
        <v>0</v>
      </c>
      <c r="AZ47" s="257">
        <f>SUM(AZ33:AZ46)</f>
        <v>0</v>
      </c>
      <c r="BA47" s="258">
        <f>SUM(BA33:BA46)</f>
        <v>0</v>
      </c>
      <c r="BB47" s="258">
        <f t="shared" ref="BB47:BD47" si="113">SUM(BB33:BB46)</f>
        <v>0</v>
      </c>
      <c r="BC47" s="258">
        <f t="shared" si="113"/>
        <v>0</v>
      </c>
      <c r="BD47" s="258">
        <f t="shared" si="113"/>
        <v>0</v>
      </c>
      <c r="BE47" s="260">
        <f>SUM(BE33:BE46)</f>
        <v>0</v>
      </c>
      <c r="BF47" s="260">
        <f>SUM(BF33:BF46)</f>
        <v>0</v>
      </c>
      <c r="BG47" s="246"/>
      <c r="BH47" s="240">
        <f>SUM(BH33:BH46)</f>
        <v>0</v>
      </c>
      <c r="BI47" s="240">
        <f t="shared" ref="BI47:BJ47" si="114">SUM(BI33:BI46)</f>
        <v>0</v>
      </c>
      <c r="BJ47" s="240">
        <f t="shared" si="114"/>
        <v>0</v>
      </c>
      <c r="BK47" s="259">
        <f>SUM(BK33:BK46)</f>
        <v>0</v>
      </c>
      <c r="BL47" s="259">
        <f t="shared" ref="BL47:BN47" si="115">SUM(BL33:BL46)</f>
        <v>0</v>
      </c>
      <c r="BM47" s="259">
        <f t="shared" si="115"/>
        <v>0</v>
      </c>
      <c r="BN47" s="259">
        <f t="shared" si="115"/>
        <v>0</v>
      </c>
      <c r="BO47" s="255">
        <f>SUM(BO33:BO46)</f>
        <v>0</v>
      </c>
      <c r="BP47" s="255">
        <f>SUM(BP33:BP46)</f>
        <v>0</v>
      </c>
      <c r="BQ47" s="249"/>
      <c r="BR47" s="247"/>
      <c r="BS47" s="247"/>
      <c r="BT47" s="247"/>
      <c r="BU47" s="248"/>
      <c r="BV47" s="183">
        <f t="shared" ref="BV47:CE47" si="116">SUM(BV33:BV46)</f>
        <v>0</v>
      </c>
      <c r="BW47" s="183">
        <f t="shared" si="116"/>
        <v>0</v>
      </c>
      <c r="BX47" s="184">
        <f t="shared" si="116"/>
        <v>0</v>
      </c>
      <c r="BY47" s="180">
        <f t="shared" si="116"/>
        <v>0</v>
      </c>
      <c r="BZ47" s="185">
        <f t="shared" si="116"/>
        <v>0</v>
      </c>
      <c r="CA47" s="261">
        <f t="shared" si="116"/>
        <v>0</v>
      </c>
      <c r="CB47" s="240">
        <f t="shared" si="116"/>
        <v>0</v>
      </c>
      <c r="CC47" s="259">
        <f t="shared" si="116"/>
        <v>0</v>
      </c>
      <c r="CD47" s="253">
        <f t="shared" si="116"/>
        <v>0</v>
      </c>
      <c r="CE47" s="262">
        <f t="shared" si="116"/>
        <v>0</v>
      </c>
      <c r="CF47" s="263">
        <f t="shared" si="97"/>
        <v>0</v>
      </c>
      <c r="CG47" s="262">
        <f t="shared" si="98"/>
        <v>0</v>
      </c>
      <c r="CH47" s="182">
        <f t="shared" ref="CH47" si="117">SUM(CH33:CH46)</f>
        <v>0</v>
      </c>
      <c r="CI47" s="182">
        <f t="shared" ref="CI47" si="118">SUM(CI33:CI46)</f>
        <v>0</v>
      </c>
      <c r="CJ47" s="264">
        <f t="shared" ref="CJ47" si="119">SUM(CJ33:CJ46)</f>
        <v>0</v>
      </c>
      <c r="CK47" s="259">
        <f t="shared" ref="CK47" si="120">SUM(CK33:CK46)</f>
        <v>0</v>
      </c>
      <c r="CL47" s="259">
        <f t="shared" ref="CL47" si="121">SUM(CL33:CL46)</f>
        <v>0</v>
      </c>
      <c r="CM47" s="251">
        <f t="shared" ref="CM47" si="122">SUM(CM33:CM46)</f>
        <v>0</v>
      </c>
      <c r="CN47" s="251">
        <f t="shared" si="104"/>
        <v>0</v>
      </c>
      <c r="CO47" s="251">
        <f>CJ47*17/14</f>
        <v>0</v>
      </c>
      <c r="CP47" s="1"/>
    </row>
  </sheetData>
  <sheetProtection sheet="1" objects="1" scenarios="1" formatCells="0" formatColumns="0"/>
  <customSheetViews>
    <customSheetView guid="{D886BD10-986C-4491-A4B8-2CD64A5C3006}" scale="70" hiddenRows="1">
      <pane xSplit="3" ySplit="3" topLeftCell="X4" activePane="bottomRight" state="frozen"/>
      <selection pane="bottomRight" activeCell="AE36" sqref="AE36"/>
      <pageMargins left="0.7" right="0.7" top="0.75" bottom="0.75" header="0.3" footer="0.3"/>
      <pageSetup paperSize="9" orientation="portrait" r:id="rId1"/>
    </customSheetView>
  </customSheetViews>
  <mergeCells count="44">
    <mergeCell ref="AY1:BG1"/>
    <mergeCell ref="A1:A3"/>
    <mergeCell ref="B1:B3"/>
    <mergeCell ref="C1:C2"/>
    <mergeCell ref="K1:P1"/>
    <mergeCell ref="Q1:V1"/>
    <mergeCell ref="CN2:CN3"/>
    <mergeCell ref="CO2:CO3"/>
    <mergeCell ref="D1:G1"/>
    <mergeCell ref="H1:J1"/>
    <mergeCell ref="AL1:AO1"/>
    <mergeCell ref="AP1:AT1"/>
    <mergeCell ref="AU1:AX1"/>
    <mergeCell ref="AF1:AJ1"/>
    <mergeCell ref="W1:AE1"/>
    <mergeCell ref="CH1:CI1"/>
    <mergeCell ref="CF1:CG1"/>
    <mergeCell ref="BH1:BO1"/>
    <mergeCell ref="BR1:BS1"/>
    <mergeCell ref="BT1:BU1"/>
    <mergeCell ref="BV1:BZ1"/>
    <mergeCell ref="CA1:CE1"/>
    <mergeCell ref="A30:A32"/>
    <mergeCell ref="B30:B32"/>
    <mergeCell ref="C30:C31"/>
    <mergeCell ref="D30:G30"/>
    <mergeCell ref="H30:J30"/>
    <mergeCell ref="K30:P30"/>
    <mergeCell ref="Q30:V30"/>
    <mergeCell ref="W30:AE30"/>
    <mergeCell ref="AF30:AJ30"/>
    <mergeCell ref="AL30:AO30"/>
    <mergeCell ref="AP30:AT30"/>
    <mergeCell ref="AU30:AX30"/>
    <mergeCell ref="AY30:BG30"/>
    <mergeCell ref="BH30:BO30"/>
    <mergeCell ref="BR30:BS30"/>
    <mergeCell ref="CN31:CN32"/>
    <mergeCell ref="CO31:CO32"/>
    <mergeCell ref="BT30:BU30"/>
    <mergeCell ref="BV30:BZ30"/>
    <mergeCell ref="CA30:CE30"/>
    <mergeCell ref="CF30:CG30"/>
    <mergeCell ref="CH30:CI30"/>
  </mergeCell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5"/>
  <dimension ref="A1:AM78"/>
  <sheetViews>
    <sheetView topLeftCell="H20" zoomScale="85" zoomScaleNormal="85" workbookViewId="0">
      <selection activeCell="S28" sqref="S28"/>
    </sheetView>
  </sheetViews>
  <sheetFormatPr defaultColWidth="11.5546875" defaultRowHeight="14.4" x14ac:dyDescent="0.3"/>
  <cols>
    <col min="1" max="1" width="8.44140625" customWidth="1" collapsed="1"/>
    <col min="2" max="2" width="31.44140625" customWidth="1" collapsed="1"/>
    <col min="3" max="3" width="12.109375" customWidth="1" collapsed="1"/>
    <col min="5" max="5" width="12.109375" bestFit="1" customWidth="1" collapsed="1"/>
    <col min="6" max="6" width="13" bestFit="1" customWidth="1" collapsed="1"/>
    <col min="7" max="7" width="14" customWidth="1" collapsed="1"/>
    <col min="8" max="8" width="20.33203125" bestFit="1" customWidth="1" collapsed="1"/>
    <col min="9" max="9" width="12.6640625" customWidth="1" collapsed="1"/>
    <col min="10" max="10" width="14.44140625" customWidth="1" collapsed="1"/>
    <col min="11" max="12" width="15.5546875" bestFit="1" customWidth="1" collapsed="1"/>
    <col min="13" max="13" width="15.33203125" customWidth="1" collapsed="1"/>
    <col min="14" max="14" width="15.109375" customWidth="1" collapsed="1"/>
    <col min="15" max="16" width="15.5546875" bestFit="1" customWidth="1" collapsed="1"/>
    <col min="17" max="17" width="15.109375" customWidth="1" collapsed="1"/>
    <col min="18" max="20" width="17.5546875" customWidth="1" collapsed="1"/>
    <col min="21" max="23" width="18.33203125" customWidth="1" collapsed="1"/>
    <col min="24" max="24" width="17.5546875" bestFit="1" customWidth="1" collapsed="1"/>
    <col min="25" max="25" width="17.6640625" bestFit="1" customWidth="1" collapsed="1"/>
    <col min="26" max="26" width="18.44140625" bestFit="1" customWidth="1" collapsed="1"/>
    <col min="27" max="27" width="19.21875" customWidth="1" collapsed="1"/>
    <col min="28" max="28" width="18.44140625" bestFit="1" customWidth="1" collapsed="1"/>
    <col min="29" max="29" width="19.109375" bestFit="1" customWidth="1" collapsed="1"/>
    <col min="30" max="30" width="9" customWidth="1" collapsed="1"/>
  </cols>
  <sheetData>
    <row r="1" spans="1:39" s="5" customFormat="1" x14ac:dyDescent="0.3">
      <c r="A1" s="632" t="s">
        <v>53</v>
      </c>
      <c r="B1" s="630" t="s">
        <v>16</v>
      </c>
      <c r="C1" s="628" t="s">
        <v>30</v>
      </c>
      <c r="D1" s="635" t="s">
        <v>1</v>
      </c>
      <c r="E1" s="635"/>
      <c r="F1" s="635"/>
      <c r="G1" s="635" t="s">
        <v>116</v>
      </c>
      <c r="H1" s="635"/>
      <c r="I1" s="635"/>
      <c r="J1" s="636" t="s">
        <v>64</v>
      </c>
      <c r="K1" s="637"/>
      <c r="L1" s="637"/>
      <c r="M1" s="637"/>
      <c r="N1" s="637" t="s">
        <v>65</v>
      </c>
      <c r="O1" s="637"/>
      <c r="P1" s="637"/>
      <c r="Q1" s="638"/>
      <c r="R1" s="634" t="s">
        <v>102</v>
      </c>
      <c r="S1" s="634"/>
      <c r="T1" s="634"/>
      <c r="U1" s="634" t="s">
        <v>103</v>
      </c>
      <c r="V1" s="634"/>
      <c r="W1" s="634"/>
      <c r="X1" s="634" t="s">
        <v>104</v>
      </c>
      <c r="Y1" s="634"/>
      <c r="Z1" s="634"/>
      <c r="AA1" s="634" t="s">
        <v>105</v>
      </c>
      <c r="AB1" s="634"/>
      <c r="AC1" s="634"/>
      <c r="AE1" s="634" t="s">
        <v>102</v>
      </c>
      <c r="AF1" s="634"/>
      <c r="AG1" s="634"/>
      <c r="AH1" s="634" t="s">
        <v>103</v>
      </c>
      <c r="AI1" s="634"/>
      <c r="AJ1" s="634"/>
      <c r="AL1" s="626" t="s">
        <v>331</v>
      </c>
      <c r="AM1" s="627"/>
    </row>
    <row r="2" spans="1:39" s="22" customFormat="1" ht="15.6" x14ac:dyDescent="0.35">
      <c r="A2" s="633"/>
      <c r="B2" s="631"/>
      <c r="C2" s="629"/>
      <c r="D2" s="19" t="s">
        <v>113</v>
      </c>
      <c r="E2" s="19" t="s">
        <v>114</v>
      </c>
      <c r="F2" s="20" t="s">
        <v>115</v>
      </c>
      <c r="G2" s="19" t="s">
        <v>117</v>
      </c>
      <c r="H2" s="19" t="s">
        <v>118</v>
      </c>
      <c r="I2" s="20" t="s">
        <v>119</v>
      </c>
      <c r="J2" s="233" t="s">
        <v>28</v>
      </c>
      <c r="K2" s="232" t="s">
        <v>204</v>
      </c>
      <c r="L2" s="232" t="s">
        <v>205</v>
      </c>
      <c r="M2" s="234" t="s">
        <v>35</v>
      </c>
      <c r="N2" s="18" t="s">
        <v>29</v>
      </c>
      <c r="O2" s="19" t="s">
        <v>204</v>
      </c>
      <c r="P2" s="19" t="s">
        <v>205</v>
      </c>
      <c r="Q2" s="20" t="s">
        <v>36</v>
      </c>
      <c r="R2" s="19" t="s">
        <v>33</v>
      </c>
      <c r="S2" s="19" t="s">
        <v>37</v>
      </c>
      <c r="T2" s="20" t="s">
        <v>38</v>
      </c>
      <c r="U2" s="18" t="s">
        <v>34</v>
      </c>
      <c r="V2" s="19" t="s">
        <v>39</v>
      </c>
      <c r="W2" s="20" t="s">
        <v>40</v>
      </c>
      <c r="X2" s="18" t="s">
        <v>41</v>
      </c>
      <c r="Y2" s="19" t="s">
        <v>42</v>
      </c>
      <c r="Z2" s="20" t="s">
        <v>43</v>
      </c>
      <c r="AA2" s="18" t="s">
        <v>44</v>
      </c>
      <c r="AB2" s="19" t="s">
        <v>45</v>
      </c>
      <c r="AC2" s="20" t="s">
        <v>46</v>
      </c>
      <c r="AE2" s="18" t="s">
        <v>142</v>
      </c>
      <c r="AF2" s="19" t="s">
        <v>143</v>
      </c>
      <c r="AG2" s="20" t="s">
        <v>144</v>
      </c>
      <c r="AH2" s="18" t="s">
        <v>50</v>
      </c>
      <c r="AI2" s="19" t="s">
        <v>51</v>
      </c>
      <c r="AJ2" s="20" t="s">
        <v>14</v>
      </c>
      <c r="AL2" s="514" t="s">
        <v>332</v>
      </c>
      <c r="AM2" s="515" t="s">
        <v>333</v>
      </c>
    </row>
    <row r="3" spans="1:39" s="10" customFormat="1" x14ac:dyDescent="0.3">
      <c r="A3" s="358" t="s">
        <v>439</v>
      </c>
      <c r="B3" s="359" t="s">
        <v>268</v>
      </c>
      <c r="C3" s="485" t="s">
        <v>31</v>
      </c>
      <c r="D3" s="486">
        <v>0.25</v>
      </c>
      <c r="E3" s="485">
        <v>1</v>
      </c>
      <c r="F3" s="487">
        <f>D3*E3</f>
        <v>0.25</v>
      </c>
      <c r="G3" s="488"/>
      <c r="H3" s="485">
        <v>1</v>
      </c>
      <c r="I3" s="489">
        <f>G3*H3</f>
        <v>0</v>
      </c>
      <c r="J3" s="486">
        <v>0.25</v>
      </c>
      <c r="K3" s="490">
        <v>1</v>
      </c>
      <c r="L3" s="490">
        <v>1</v>
      </c>
      <c r="M3" s="487">
        <f>J3*K3*L3</f>
        <v>0.25</v>
      </c>
      <c r="N3" s="439">
        <v>0.27</v>
      </c>
      <c r="O3" s="490">
        <f>VLOOKUP(Dades!I25,F.Emissió!$K$62:$P$77,6,FALSE)</f>
        <v>1</v>
      </c>
      <c r="P3" s="490">
        <f>VLOOKUP(Dades!K25,F.Emissió!$S$20:$V$24,4,FALSE)</f>
        <v>1</v>
      </c>
      <c r="Q3" s="493">
        <f>N3*O3*P3</f>
        <v>0.27</v>
      </c>
      <c r="R3" s="488">
        <v>0.45</v>
      </c>
      <c r="S3" s="490">
        <v>1</v>
      </c>
      <c r="T3" s="493">
        <f>R3*S3</f>
        <v>0.45</v>
      </c>
      <c r="U3" s="439">
        <v>0.11</v>
      </c>
      <c r="V3" s="490">
        <f>VLOOKUP(Dades!Q25,F.Emissió!$S$36:$V$45,4,FALSE)</f>
        <v>0.6</v>
      </c>
      <c r="W3" s="493">
        <f>U3*V3</f>
        <v>6.6000000000000003E-2</v>
      </c>
      <c r="X3" s="486">
        <v>0.81</v>
      </c>
      <c r="Y3" s="490">
        <f>VLOOKUP(Dades!Z25,F.Emissió!$Y$22:$AB$29,4,FALSE)</f>
        <v>0.30000000000000004</v>
      </c>
      <c r="Z3" s="493">
        <f>X3*Y3</f>
        <v>0.24300000000000005</v>
      </c>
      <c r="AA3" s="445">
        <v>0.4</v>
      </c>
      <c r="AB3" s="490">
        <f>VLOOKUP(Dades!Z25,F.Emissió!$Y$22:$AB$29,4,FALSE)</f>
        <v>0.30000000000000004</v>
      </c>
      <c r="AC3" s="498">
        <f>AA3*AB3</f>
        <v>0.12000000000000002</v>
      </c>
      <c r="AD3" s="499"/>
      <c r="AE3" s="486">
        <v>0.01</v>
      </c>
      <c r="AF3" s="500">
        <v>0.3</v>
      </c>
      <c r="AG3" s="493">
        <v>0.01</v>
      </c>
      <c r="AH3" s="486">
        <v>0</v>
      </c>
      <c r="AI3" s="500">
        <v>3.0000000000000001E-3</v>
      </c>
      <c r="AJ3" s="493">
        <v>1E-4</v>
      </c>
      <c r="AL3" s="514">
        <v>0.27</v>
      </c>
      <c r="AM3" s="515">
        <v>0.05</v>
      </c>
    </row>
    <row r="4" spans="1:39" s="402" customFormat="1" hidden="1" x14ac:dyDescent="0.3">
      <c r="A4" s="360" t="s">
        <v>23</v>
      </c>
      <c r="B4" s="361" t="s">
        <v>9</v>
      </c>
      <c r="C4" s="395" t="s">
        <v>32</v>
      </c>
      <c r="D4" s="396">
        <v>0.25</v>
      </c>
      <c r="E4" s="395">
        <v>1</v>
      </c>
      <c r="F4" s="397">
        <f t="shared" ref="F4:F16" si="0">D4*E4</f>
        <v>0.25</v>
      </c>
      <c r="G4" s="396">
        <v>0.53</v>
      </c>
      <c r="H4" s="395">
        <v>1</v>
      </c>
      <c r="I4" s="362">
        <f t="shared" ref="I4:I16" si="1">G4*H4</f>
        <v>0.53</v>
      </c>
      <c r="J4" s="396">
        <v>0.27</v>
      </c>
      <c r="K4" s="398">
        <v>1</v>
      </c>
      <c r="L4" s="398">
        <v>1</v>
      </c>
      <c r="M4" s="397">
        <f t="shared" ref="M4:M16" si="2">J4*K4*L4</f>
        <v>0.27</v>
      </c>
      <c r="N4" s="396">
        <v>0.28000000000000003</v>
      </c>
      <c r="O4" s="494" t="e">
        <f>VLOOKUP(Dades!#REF!,F.Emissió!$K$22:$P$31,6,FALSE)</f>
        <v>#REF!</v>
      </c>
      <c r="P4" s="494" t="e">
        <f>VLOOKUP(Dades!#REF!,F.Emissió!$S$20:$V$24,4,FALSE)</f>
        <v>#REF!</v>
      </c>
      <c r="Q4" s="495" t="e">
        <f t="shared" ref="Q4:Q16" si="3">N4*O4*P4</f>
        <v>#REF!</v>
      </c>
      <c r="R4" s="496">
        <v>0.45</v>
      </c>
      <c r="S4" s="494">
        <v>1</v>
      </c>
      <c r="T4" s="495">
        <f t="shared" ref="T4:T16" si="4">R4*S4</f>
        <v>0.45</v>
      </c>
      <c r="U4" s="396">
        <v>0.14000000000000001</v>
      </c>
      <c r="V4" s="497" t="e">
        <f>VLOOKUP(Dades!#REF!,F.Emissió!$S$36:$V$45,4,FALSE)</f>
        <v>#REF!</v>
      </c>
      <c r="W4" s="495" t="e">
        <f t="shared" ref="W4:W16" si="5">U4*V4</f>
        <v>#REF!</v>
      </c>
      <c r="X4" s="496">
        <v>0.81</v>
      </c>
      <c r="Y4" s="497" t="e">
        <f>VLOOKUP(Dades!#REF!,F.Emissió!$Y$22:$AB$29,4,FALSE)</f>
        <v>#REF!</v>
      </c>
      <c r="Z4" s="495" t="e">
        <f t="shared" ref="Z4:Z16" si="6">X4*Y4</f>
        <v>#REF!</v>
      </c>
      <c r="AA4" s="399">
        <v>0.4</v>
      </c>
      <c r="AB4" s="497" t="e">
        <f>VLOOKUP(Dades!#REF!,F.Emissió!$Y$22:$AB$29,4,FALSE)</f>
        <v>#REF!</v>
      </c>
      <c r="AC4" s="501" t="e">
        <f t="shared" ref="AC4:AC16" si="7">AA4*AB4</f>
        <v>#REF!</v>
      </c>
      <c r="AD4" s="502"/>
      <c r="AE4" s="496">
        <v>0.01</v>
      </c>
      <c r="AF4" s="503">
        <v>0.3</v>
      </c>
      <c r="AG4" s="495">
        <v>0.01</v>
      </c>
      <c r="AH4" s="496">
        <v>0</v>
      </c>
      <c r="AI4" s="503">
        <v>3.0000000000000001E-3</v>
      </c>
      <c r="AJ4" s="495">
        <v>1E-4</v>
      </c>
      <c r="AL4" s="514"/>
      <c r="AM4" s="515"/>
    </row>
    <row r="5" spans="1:39" s="402" customFormat="1" hidden="1" x14ac:dyDescent="0.3">
      <c r="A5" s="360" t="s">
        <v>23</v>
      </c>
      <c r="B5" s="361" t="s">
        <v>8</v>
      </c>
      <c r="C5" s="395" t="s">
        <v>32</v>
      </c>
      <c r="D5" s="396">
        <v>0.25</v>
      </c>
      <c r="E5" s="395">
        <v>1</v>
      </c>
      <c r="F5" s="397">
        <f t="shared" si="0"/>
        <v>0.25</v>
      </c>
      <c r="G5" s="396">
        <v>0.53</v>
      </c>
      <c r="H5" s="395">
        <v>1</v>
      </c>
      <c r="I5" s="362">
        <f t="shared" si="1"/>
        <v>0.53</v>
      </c>
      <c r="J5" s="396">
        <v>0.27</v>
      </c>
      <c r="K5" s="398">
        <v>1</v>
      </c>
      <c r="L5" s="298">
        <v>1</v>
      </c>
      <c r="M5" s="397">
        <f t="shared" si="2"/>
        <v>0.27</v>
      </c>
      <c r="N5" s="396">
        <v>0.28000000000000003</v>
      </c>
      <c r="O5" s="497" t="e">
        <f>VLOOKUP(Dades!#REF!,F.Emissió!$K$22:$P$31,6,FALSE)</f>
        <v>#REF!</v>
      </c>
      <c r="P5" s="497" t="e">
        <f>VLOOKUP(Dades!#REF!,F.Emissió!$S$20:$V$24,4,FALSE)</f>
        <v>#REF!</v>
      </c>
      <c r="Q5" s="495" t="e">
        <f t="shared" si="3"/>
        <v>#REF!</v>
      </c>
      <c r="R5" s="496">
        <v>0.45</v>
      </c>
      <c r="S5" s="497">
        <v>1</v>
      </c>
      <c r="T5" s="495">
        <f t="shared" si="4"/>
        <v>0.45</v>
      </c>
      <c r="U5" s="396">
        <v>0.14000000000000001</v>
      </c>
      <c r="V5" s="497" t="e">
        <f>VLOOKUP(Dades!#REF!,F.Emissió!$S$36:$V$45,4,FALSE)</f>
        <v>#REF!</v>
      </c>
      <c r="W5" s="495" t="e">
        <f t="shared" si="5"/>
        <v>#REF!</v>
      </c>
      <c r="X5" s="496">
        <v>0.81</v>
      </c>
      <c r="Y5" s="497" t="e">
        <f>VLOOKUP(Dades!#REF!,F.Emissió!$Y$22:$AB$29,4,FALSE)</f>
        <v>#REF!</v>
      </c>
      <c r="Z5" s="495" t="e">
        <f t="shared" si="6"/>
        <v>#REF!</v>
      </c>
      <c r="AA5" s="399">
        <v>0.4</v>
      </c>
      <c r="AB5" s="497" t="e">
        <f>VLOOKUP(Dades!#REF!,F.Emissió!$Y$22:$AB$29,4,FALSE)</f>
        <v>#REF!</v>
      </c>
      <c r="AC5" s="501" t="e">
        <f>AA5*AB5</f>
        <v>#REF!</v>
      </c>
      <c r="AD5" s="502"/>
      <c r="AE5" s="496">
        <v>0.01</v>
      </c>
      <c r="AF5" s="503">
        <v>0.3</v>
      </c>
      <c r="AG5" s="495">
        <v>0.01</v>
      </c>
      <c r="AH5" s="496">
        <v>0</v>
      </c>
      <c r="AI5" s="503">
        <v>3.0000000000000001E-3</v>
      </c>
      <c r="AJ5" s="495">
        <v>1E-4</v>
      </c>
      <c r="AL5" s="514"/>
      <c r="AM5" s="515"/>
    </row>
    <row r="6" spans="1:39" s="10" customFormat="1" x14ac:dyDescent="0.3">
      <c r="A6" s="358" t="s">
        <v>439</v>
      </c>
      <c r="B6" s="359" t="s">
        <v>218</v>
      </c>
      <c r="C6" s="14" t="s">
        <v>32</v>
      </c>
      <c r="D6" s="13">
        <v>0.25</v>
      </c>
      <c r="E6" s="14">
        <v>1</v>
      </c>
      <c r="F6" s="231">
        <f t="shared" si="0"/>
        <v>0.25</v>
      </c>
      <c r="G6" s="13">
        <v>0.53</v>
      </c>
      <c r="H6" s="14">
        <v>1</v>
      </c>
      <c r="I6" s="15">
        <f t="shared" si="1"/>
        <v>0.53</v>
      </c>
      <c r="J6" s="415">
        <v>0.23</v>
      </c>
      <c r="K6" s="229">
        <v>1</v>
      </c>
      <c r="L6" s="229">
        <v>1</v>
      </c>
      <c r="M6" s="231">
        <f t="shared" si="2"/>
        <v>0.23</v>
      </c>
      <c r="N6" s="439">
        <v>0.27</v>
      </c>
      <c r="O6" s="492">
        <f>VLOOKUP(Dades!I27,F.Emissió!$K$22:$P$36,6,FALSE)</f>
        <v>1</v>
      </c>
      <c r="P6" s="492">
        <f>VLOOKUP(Dades!K27,F.Emissió!$S$20:$V$24,4,FALSE)</f>
        <v>1</v>
      </c>
      <c r="Q6" s="489">
        <f t="shared" si="3"/>
        <v>0.27</v>
      </c>
      <c r="R6" s="488">
        <v>0.45</v>
      </c>
      <c r="S6" s="492">
        <v>1</v>
      </c>
      <c r="T6" s="489">
        <f t="shared" si="4"/>
        <v>0.45</v>
      </c>
      <c r="U6" s="439">
        <v>0.11</v>
      </c>
      <c r="V6" s="492">
        <f>VLOOKUP(Dades!Q27,F.Emissió!$S$36:$V$45,4,FALSE)</f>
        <v>0.6</v>
      </c>
      <c r="W6" s="489">
        <f>U6*V6</f>
        <v>6.6000000000000003E-2</v>
      </c>
      <c r="X6" s="488">
        <v>0.81</v>
      </c>
      <c r="Y6" s="492">
        <f>VLOOKUP(Dades!Z27,F.Emissió!$Y$22:$AB$29,4,FALSE)</f>
        <v>0.30000000000000004</v>
      </c>
      <c r="Z6" s="489">
        <f t="shared" si="6"/>
        <v>0.24300000000000005</v>
      </c>
      <c r="AA6" s="201">
        <v>0.4</v>
      </c>
      <c r="AB6" s="492">
        <f>VLOOKUP(Dades!Z27,F.Emissió!$Y$22:$AB$29,4,FALSE)</f>
        <v>0.30000000000000004</v>
      </c>
      <c r="AC6" s="504">
        <f t="shared" si="7"/>
        <v>0.12000000000000002</v>
      </c>
      <c r="AD6" s="499"/>
      <c r="AE6" s="488">
        <v>0.01</v>
      </c>
      <c r="AF6" s="485">
        <v>0.3</v>
      </c>
      <c r="AG6" s="489">
        <v>0.01</v>
      </c>
      <c r="AH6" s="488">
        <v>0</v>
      </c>
      <c r="AI6" s="485">
        <v>3.0000000000000001E-3</v>
      </c>
      <c r="AJ6" s="489">
        <v>1E-4</v>
      </c>
      <c r="AL6" s="514">
        <v>1.05</v>
      </c>
      <c r="AM6" s="515">
        <v>0.14000000000000001</v>
      </c>
    </row>
    <row r="7" spans="1:39" s="402" customFormat="1" hidden="1" x14ac:dyDescent="0.3">
      <c r="A7" s="360" t="s">
        <v>439</v>
      </c>
      <c r="B7" s="361" t="s">
        <v>7</v>
      </c>
      <c r="C7" s="395" t="s">
        <v>32</v>
      </c>
      <c r="D7" s="396">
        <v>0.25</v>
      </c>
      <c r="E7" s="395">
        <v>1</v>
      </c>
      <c r="F7" s="397">
        <f t="shared" si="0"/>
        <v>0.25</v>
      </c>
      <c r="G7" s="396">
        <v>0.53</v>
      </c>
      <c r="H7" s="395">
        <v>1</v>
      </c>
      <c r="I7" s="362">
        <f t="shared" si="1"/>
        <v>0.53</v>
      </c>
      <c r="J7" s="396">
        <v>0.27</v>
      </c>
      <c r="K7" s="298">
        <v>1</v>
      </c>
      <c r="L7" s="398">
        <v>1</v>
      </c>
      <c r="M7" s="397">
        <f t="shared" si="2"/>
        <v>0.27</v>
      </c>
      <c r="N7" s="396">
        <v>0.28000000000000003</v>
      </c>
      <c r="O7" s="497" t="e">
        <f>VLOOKUP(Dades!#REF!,F.Emissió!$K$22:$P$31,6,FALSE)</f>
        <v>#REF!</v>
      </c>
      <c r="P7" s="497" t="e">
        <f>VLOOKUP(Dades!#REF!,F.Emissió!$S$20:$V$24,4,FALSE)</f>
        <v>#REF!</v>
      </c>
      <c r="Q7" s="495" t="e">
        <f t="shared" si="3"/>
        <v>#REF!</v>
      </c>
      <c r="R7" s="496">
        <v>0.45</v>
      </c>
      <c r="S7" s="497">
        <v>1</v>
      </c>
      <c r="T7" s="495">
        <f>R7*S6</f>
        <v>0.45</v>
      </c>
      <c r="U7" s="396">
        <v>0.14000000000000001</v>
      </c>
      <c r="V7" s="497" t="e">
        <f>VLOOKUP(Dades!#REF!,F.Emissió!$S$36:$V$45,4,FALSE)</f>
        <v>#REF!</v>
      </c>
      <c r="W7" s="495" t="e">
        <f t="shared" si="5"/>
        <v>#REF!</v>
      </c>
      <c r="X7" s="496">
        <v>0.81</v>
      </c>
      <c r="Y7" s="497" t="e">
        <f>VLOOKUP(Dades!#REF!,F.Emissió!$Y$22:$AB$29,4,FALSE)</f>
        <v>#REF!</v>
      </c>
      <c r="Z7" s="495" t="e">
        <f t="shared" si="6"/>
        <v>#REF!</v>
      </c>
      <c r="AA7" s="399">
        <v>0.4</v>
      </c>
      <c r="AB7" s="497" t="e">
        <f>VLOOKUP(Dades!#REF!,F.Emissió!$Y$22:$AB$29,4,FALSE)</f>
        <v>#REF!</v>
      </c>
      <c r="AC7" s="501" t="e">
        <f t="shared" si="7"/>
        <v>#REF!</v>
      </c>
      <c r="AD7" s="502"/>
      <c r="AE7" s="496">
        <v>0.01</v>
      </c>
      <c r="AF7" s="503">
        <v>0.3</v>
      </c>
      <c r="AG7" s="495">
        <v>0.01</v>
      </c>
      <c r="AH7" s="496">
        <v>0</v>
      </c>
      <c r="AI7" s="503">
        <v>3.0000000000000001E-3</v>
      </c>
      <c r="AJ7" s="495">
        <v>1E-4</v>
      </c>
      <c r="AL7" s="514"/>
      <c r="AM7" s="515"/>
    </row>
    <row r="8" spans="1:39" s="402" customFormat="1" hidden="1" x14ac:dyDescent="0.3">
      <c r="A8" s="376" t="s">
        <v>439</v>
      </c>
      <c r="B8" s="377" t="s">
        <v>6</v>
      </c>
      <c r="C8" s="403" t="s">
        <v>31</v>
      </c>
      <c r="D8" s="404">
        <v>0.25</v>
      </c>
      <c r="E8" s="403">
        <v>1</v>
      </c>
      <c r="F8" s="405">
        <f t="shared" si="0"/>
        <v>0.25</v>
      </c>
      <c r="G8" s="404"/>
      <c r="H8" s="403">
        <v>1</v>
      </c>
      <c r="I8" s="378">
        <f t="shared" si="1"/>
        <v>0</v>
      </c>
      <c r="J8" s="404">
        <v>0.25</v>
      </c>
      <c r="K8" s="406">
        <v>1</v>
      </c>
      <c r="L8" s="406">
        <v>1</v>
      </c>
      <c r="M8" s="405">
        <f t="shared" si="2"/>
        <v>0.25</v>
      </c>
      <c r="N8" s="404">
        <v>0.22</v>
      </c>
      <c r="O8" s="497" t="e">
        <f>VLOOKUP(Dades!#REF!,F.Emissió!$K$22:$P$31,6,FALSE)</f>
        <v>#REF!</v>
      </c>
      <c r="P8" s="497" t="e">
        <f>VLOOKUP(Dades!#REF!,F.Emissió!$S$20:$V$24,4,FALSE)</f>
        <v>#REF!</v>
      </c>
      <c r="Q8" s="495" t="e">
        <f t="shared" si="3"/>
        <v>#REF!</v>
      </c>
      <c r="R8" s="496">
        <v>0.45</v>
      </c>
      <c r="S8" s="497">
        <v>1</v>
      </c>
      <c r="T8" s="495">
        <f>R8*S7</f>
        <v>0.45</v>
      </c>
      <c r="U8" s="404">
        <v>0.14000000000000001</v>
      </c>
      <c r="V8" s="497" t="e">
        <f>VLOOKUP(Dades!#REF!,F.Emissió!$S$36:$V$45,4,FALSE)</f>
        <v>#REF!</v>
      </c>
      <c r="W8" s="495" t="e">
        <f t="shared" si="5"/>
        <v>#REF!</v>
      </c>
      <c r="X8" s="496">
        <v>0.81</v>
      </c>
      <c r="Y8" s="497" t="e">
        <f>VLOOKUP(Dades!#REF!,F.Emissió!$Y$22:$AB$29,4,FALSE)</f>
        <v>#REF!</v>
      </c>
      <c r="Z8" s="495" t="e">
        <f t="shared" si="6"/>
        <v>#REF!</v>
      </c>
      <c r="AA8" s="373">
        <v>0.28999999999999998</v>
      </c>
      <c r="AB8" s="497" t="e">
        <f>VLOOKUP(Dades!#REF!,F.Emissió!$Y$22:$AB$29,4,FALSE)</f>
        <v>#REF!</v>
      </c>
      <c r="AC8" s="501" t="e">
        <f t="shared" si="7"/>
        <v>#REF!</v>
      </c>
      <c r="AD8" s="502"/>
      <c r="AE8" s="496">
        <v>0.01</v>
      </c>
      <c r="AF8" s="503">
        <v>0.3</v>
      </c>
      <c r="AG8" s="495">
        <v>0.01</v>
      </c>
      <c r="AH8" s="496">
        <v>0</v>
      </c>
      <c r="AI8" s="503">
        <v>3.0000000000000001E-3</v>
      </c>
      <c r="AJ8" s="495">
        <v>1E-4</v>
      </c>
      <c r="AL8" s="514"/>
      <c r="AM8" s="515"/>
    </row>
    <row r="9" spans="1:39" s="10" customFormat="1" x14ac:dyDescent="0.3">
      <c r="A9" s="358" t="s">
        <v>439</v>
      </c>
      <c r="B9" s="359" t="s">
        <v>217</v>
      </c>
      <c r="C9" s="14" t="s">
        <v>32</v>
      </c>
      <c r="D9" s="13">
        <v>0.25</v>
      </c>
      <c r="E9" s="14">
        <v>1</v>
      </c>
      <c r="F9" s="231">
        <f t="shared" si="0"/>
        <v>0.25</v>
      </c>
      <c r="G9" s="13">
        <v>0.53</v>
      </c>
      <c r="H9" s="14">
        <v>1</v>
      </c>
      <c r="I9" s="15">
        <f t="shared" si="1"/>
        <v>0.53</v>
      </c>
      <c r="J9" s="415">
        <v>0.23</v>
      </c>
      <c r="K9" s="229">
        <v>1</v>
      </c>
      <c r="L9" s="229">
        <v>1</v>
      </c>
      <c r="M9" s="231">
        <f t="shared" si="2"/>
        <v>0.23</v>
      </c>
      <c r="N9" s="439">
        <v>0.35</v>
      </c>
      <c r="O9" s="492">
        <f>VLOOKUP(Dades!I29,F.Emissió!$K$22:$P$36,6,FALSE)</f>
        <v>1</v>
      </c>
      <c r="P9" s="492">
        <f>VLOOKUP(Dades!K29,F.Emissió!$S$20:$V$24,4,FALSE)</f>
        <v>1</v>
      </c>
      <c r="Q9" s="489">
        <f t="shared" si="3"/>
        <v>0.35</v>
      </c>
      <c r="R9" s="488">
        <v>0.45</v>
      </c>
      <c r="S9" s="492">
        <v>1</v>
      </c>
      <c r="T9" s="489">
        <f>R9*S8</f>
        <v>0.45</v>
      </c>
      <c r="U9" s="439">
        <v>0.11</v>
      </c>
      <c r="V9" s="492">
        <f>VLOOKUP(Dades!Q29,F.Emissió!$S$36:$V$45,4,FALSE)</f>
        <v>0.6</v>
      </c>
      <c r="W9" s="489">
        <f t="shared" si="5"/>
        <v>6.6000000000000003E-2</v>
      </c>
      <c r="X9" s="488">
        <v>0.81</v>
      </c>
      <c r="Y9" s="492">
        <f>VLOOKUP(Dades!Z29,F.Emissió!$Y$22:$AB$29,4,FALSE)</f>
        <v>0.30000000000000004</v>
      </c>
      <c r="Z9" s="489">
        <f t="shared" si="6"/>
        <v>0.24300000000000005</v>
      </c>
      <c r="AA9" s="445">
        <v>0.28999999999999998</v>
      </c>
      <c r="AB9" s="492">
        <f>VLOOKUP(Dades!Z29,F.Emissió!$Y$22:$AB$29,4,FALSE)</f>
        <v>0.30000000000000004</v>
      </c>
      <c r="AC9" s="504">
        <f t="shared" si="7"/>
        <v>8.7000000000000008E-2</v>
      </c>
      <c r="AD9" s="499"/>
      <c r="AE9" s="488">
        <v>0.01</v>
      </c>
      <c r="AF9" s="485">
        <v>0.3</v>
      </c>
      <c r="AG9" s="489">
        <v>0.01</v>
      </c>
      <c r="AH9" s="488">
        <v>0</v>
      </c>
      <c r="AI9" s="485">
        <v>3.0000000000000001E-3</v>
      </c>
      <c r="AJ9" s="489">
        <v>1E-4</v>
      </c>
      <c r="AL9" s="514">
        <v>0.62</v>
      </c>
      <c r="AM9" s="515">
        <v>0.17</v>
      </c>
    </row>
    <row r="10" spans="1:39" s="10" customFormat="1" x14ac:dyDescent="0.3">
      <c r="A10" s="358" t="s">
        <v>439</v>
      </c>
      <c r="B10" s="359" t="s">
        <v>314</v>
      </c>
      <c r="C10" s="485" t="s">
        <v>31</v>
      </c>
      <c r="D10" s="488">
        <v>0.25</v>
      </c>
      <c r="E10" s="485">
        <v>1</v>
      </c>
      <c r="F10" s="491">
        <f t="shared" si="0"/>
        <v>0.25</v>
      </c>
      <c r="G10" s="488"/>
      <c r="H10" s="485">
        <v>1</v>
      </c>
      <c r="I10" s="489">
        <f t="shared" si="1"/>
        <v>0</v>
      </c>
      <c r="J10" s="488">
        <v>0.25</v>
      </c>
      <c r="K10" s="492">
        <v>1</v>
      </c>
      <c r="L10" s="492">
        <v>1</v>
      </c>
      <c r="M10" s="491">
        <f t="shared" si="2"/>
        <v>0.25</v>
      </c>
      <c r="N10" s="439">
        <v>0.27</v>
      </c>
      <c r="O10" s="492">
        <f>VLOOKUP(Dades!I31,F.Emissió!$K$22:$P$36,6,FALSE)</f>
        <v>1</v>
      </c>
      <c r="P10" s="492">
        <f>VLOOKUP(Dades!K31,F.Emissió!$S$20:$V$24,4,FALSE)</f>
        <v>1</v>
      </c>
      <c r="Q10" s="489">
        <f t="shared" si="3"/>
        <v>0.27</v>
      </c>
      <c r="R10" s="488">
        <v>0.45</v>
      </c>
      <c r="S10" s="492">
        <v>1</v>
      </c>
      <c r="T10" s="489">
        <f>R10*S9</f>
        <v>0.45</v>
      </c>
      <c r="U10" s="439">
        <v>0.11</v>
      </c>
      <c r="V10" s="492">
        <f>VLOOKUP(Dades!Q31,F.Emissió!$S$36:$V$45,4,FALSE)</f>
        <v>0.6</v>
      </c>
      <c r="W10" s="489">
        <f t="shared" si="5"/>
        <v>6.6000000000000003E-2</v>
      </c>
      <c r="X10" s="488">
        <v>0.81</v>
      </c>
      <c r="Y10" s="492">
        <f>VLOOKUP(Dades!Z31,F.Emissió!$Y$22:$AB$29,4,FALSE)</f>
        <v>0.30000000000000004</v>
      </c>
      <c r="Z10" s="489">
        <f t="shared" si="6"/>
        <v>0.24300000000000005</v>
      </c>
      <c r="AA10" s="445">
        <v>0.4</v>
      </c>
      <c r="AB10" s="492">
        <f>VLOOKUP(Dades!Z31,F.Emissió!$Y$22:$AB$29,4,FALSE)</f>
        <v>0.30000000000000004</v>
      </c>
      <c r="AC10" s="504">
        <f t="shared" si="7"/>
        <v>0.12000000000000002</v>
      </c>
      <c r="AD10" s="499"/>
      <c r="AE10" s="488">
        <v>0.01</v>
      </c>
      <c r="AF10" s="485">
        <v>0.3</v>
      </c>
      <c r="AG10" s="489">
        <v>0.01</v>
      </c>
      <c r="AH10" s="488">
        <v>0</v>
      </c>
      <c r="AI10" s="485">
        <v>3.0000000000000001E-3</v>
      </c>
      <c r="AJ10" s="489">
        <v>1E-4</v>
      </c>
      <c r="AL10" s="514">
        <v>1.05</v>
      </c>
      <c r="AM10" s="515">
        <v>0.14000000000000001</v>
      </c>
    </row>
    <row r="11" spans="1:39" s="402" customFormat="1" hidden="1" x14ac:dyDescent="0.3">
      <c r="A11" s="360" t="s">
        <v>439</v>
      </c>
      <c r="B11" s="361" t="s">
        <v>5</v>
      </c>
      <c r="C11" s="395" t="s">
        <v>32</v>
      </c>
      <c r="D11" s="396">
        <v>0.25</v>
      </c>
      <c r="E11" s="395">
        <v>1</v>
      </c>
      <c r="F11" s="397">
        <f t="shared" si="0"/>
        <v>0.25</v>
      </c>
      <c r="G11" s="396">
        <v>0.53</v>
      </c>
      <c r="H11" s="395">
        <v>1</v>
      </c>
      <c r="I11" s="362">
        <f t="shared" si="1"/>
        <v>0.53</v>
      </c>
      <c r="J11" s="396">
        <v>0.27</v>
      </c>
      <c r="K11" s="398">
        <v>1</v>
      </c>
      <c r="L11" s="398">
        <v>1</v>
      </c>
      <c r="M11" s="397">
        <f t="shared" si="2"/>
        <v>0.27</v>
      </c>
      <c r="N11" s="396">
        <v>0.28000000000000003</v>
      </c>
      <c r="O11" s="398" t="e">
        <f>VLOOKUP(Dades!#REF!,F.Emissió!$K$22:$P$31,6,FALSE)</f>
        <v>#REF!</v>
      </c>
      <c r="P11" s="398" t="e">
        <f>VLOOKUP(Dades!#REF!,F.Emissió!$S$20:$V$24,4,FALSE)</f>
        <v>#REF!</v>
      </c>
      <c r="Q11" s="362" t="e">
        <f t="shared" si="3"/>
        <v>#REF!</v>
      </c>
      <c r="R11" s="396">
        <v>0.45</v>
      </c>
      <c r="S11" s="398">
        <v>1</v>
      </c>
      <c r="T11" s="362">
        <f>R11*S10</f>
        <v>0.45</v>
      </c>
      <c r="U11" s="396">
        <v>0.14000000000000001</v>
      </c>
      <c r="V11" s="398" t="e">
        <f>VLOOKUP(Dades!#REF!,F.Emissió!$S$36:$V$45,4,FALSE)</f>
        <v>#REF!</v>
      </c>
      <c r="W11" s="362" t="e">
        <f t="shared" si="5"/>
        <v>#REF!</v>
      </c>
      <c r="X11" s="396">
        <v>0.81</v>
      </c>
      <c r="Y11" s="398" t="e">
        <f>VLOOKUP(Dades!#REF!,F.Emissió!$Y$22:$AB$29,4,FALSE)</f>
        <v>#REF!</v>
      </c>
      <c r="Z11" s="362" t="e">
        <f t="shared" si="6"/>
        <v>#REF!</v>
      </c>
      <c r="AA11" s="399">
        <v>0.4</v>
      </c>
      <c r="AB11" s="398" t="e">
        <f>VLOOKUP(Dades!#REF!,F.Emissió!$Y$22:$AB$29,4,FALSE)</f>
        <v>#REF!</v>
      </c>
      <c r="AC11" s="400" t="e">
        <f t="shared" si="7"/>
        <v>#REF!</v>
      </c>
      <c r="AD11" s="401"/>
      <c r="AE11" s="396">
        <v>0.01</v>
      </c>
      <c r="AF11" s="395">
        <v>0.3</v>
      </c>
      <c r="AG11" s="362">
        <v>0.01</v>
      </c>
      <c r="AH11" s="396">
        <v>0</v>
      </c>
      <c r="AI11" s="395">
        <v>3.0000000000000001E-3</v>
      </c>
      <c r="AJ11" s="362">
        <v>1E-4</v>
      </c>
      <c r="AL11" s="514"/>
      <c r="AM11" s="515"/>
    </row>
    <row r="12" spans="1:39" s="10" customFormat="1" ht="15" thickBot="1" x14ac:dyDescent="0.35">
      <c r="A12" s="505" t="s">
        <v>439</v>
      </c>
      <c r="B12" s="506" t="s">
        <v>267</v>
      </c>
      <c r="C12" s="17" t="s">
        <v>32</v>
      </c>
      <c r="D12" s="16">
        <v>0.25</v>
      </c>
      <c r="E12" s="17">
        <v>1</v>
      </c>
      <c r="F12" s="507">
        <f t="shared" si="0"/>
        <v>0.25</v>
      </c>
      <c r="G12" s="16">
        <v>0.53</v>
      </c>
      <c r="H12" s="17">
        <v>1</v>
      </c>
      <c r="I12" s="508">
        <f t="shared" si="1"/>
        <v>0.53</v>
      </c>
      <c r="J12" s="509">
        <v>0.24</v>
      </c>
      <c r="K12" s="510">
        <v>1</v>
      </c>
      <c r="L12" s="510">
        <v>1</v>
      </c>
      <c r="M12" s="507">
        <f>J12*K12*L12</f>
        <v>0.24</v>
      </c>
      <c r="N12" s="511">
        <v>0.35</v>
      </c>
      <c r="O12" s="510">
        <f>VLOOKUP(Dades!I33,F.Emissió!$K$42:$P$57,6,FALSE)</f>
        <v>1</v>
      </c>
      <c r="P12" s="510">
        <f>VLOOKUP(Dades!K33,F.Emissió!$S$20:$V$24,4,FALSE)</f>
        <v>1</v>
      </c>
      <c r="Q12" s="508">
        <f t="shared" si="3"/>
        <v>0.35</v>
      </c>
      <c r="R12" s="16">
        <v>0.45</v>
      </c>
      <c r="S12" s="510">
        <v>1</v>
      </c>
      <c r="T12" s="508">
        <f t="shared" si="4"/>
        <v>0.45</v>
      </c>
      <c r="U12" s="511">
        <v>0.11</v>
      </c>
      <c r="V12" s="510">
        <f>VLOOKUP(Dades!Q33,F.Emissió!$S$36:$V$45,4,FALSE)</f>
        <v>0.6</v>
      </c>
      <c r="W12" s="508">
        <f t="shared" si="5"/>
        <v>6.6000000000000003E-2</v>
      </c>
      <c r="X12" s="16">
        <v>0.81</v>
      </c>
      <c r="Y12" s="510">
        <f>VLOOKUP(Dades!Z33,F.Emissió!$Y$22:$AB$29,4,FALSE)</f>
        <v>0.30000000000000004</v>
      </c>
      <c r="Z12" s="508">
        <f t="shared" si="6"/>
        <v>0.24300000000000005</v>
      </c>
      <c r="AA12" s="512">
        <v>0.28999999999999998</v>
      </c>
      <c r="AB12" s="510">
        <f>VLOOKUP(Dades!Z33,F.Emissió!$Y$22:$AB$29,4,FALSE)</f>
        <v>0.30000000000000004</v>
      </c>
      <c r="AC12" s="513">
        <f t="shared" si="7"/>
        <v>8.7000000000000008E-2</v>
      </c>
      <c r="AD12"/>
      <c r="AE12" s="16">
        <v>0.01</v>
      </c>
      <c r="AF12" s="17">
        <v>0.3</v>
      </c>
      <c r="AG12" s="508">
        <v>0.01</v>
      </c>
      <c r="AH12" s="16">
        <v>0</v>
      </c>
      <c r="AI12" s="17">
        <v>3.0000000000000001E-3</v>
      </c>
      <c r="AJ12" s="508">
        <v>1E-4</v>
      </c>
      <c r="AL12" s="516">
        <v>0.62</v>
      </c>
      <c r="AM12" s="517">
        <v>0.17</v>
      </c>
    </row>
    <row r="13" spans="1:39" s="402" customFormat="1" hidden="1" x14ac:dyDescent="0.3">
      <c r="A13" s="360" t="s">
        <v>23</v>
      </c>
      <c r="B13" s="361" t="s">
        <v>11</v>
      </c>
      <c r="C13" s="395" t="s">
        <v>32</v>
      </c>
      <c r="D13" s="396">
        <v>0.25</v>
      </c>
      <c r="E13" s="395">
        <v>1</v>
      </c>
      <c r="F13" s="397">
        <f t="shared" si="0"/>
        <v>0.25</v>
      </c>
      <c r="G13" s="396">
        <v>0.53</v>
      </c>
      <c r="H13" s="395">
        <v>1</v>
      </c>
      <c r="I13" s="362">
        <f t="shared" si="1"/>
        <v>0.53</v>
      </c>
      <c r="J13" s="396">
        <v>0.27</v>
      </c>
      <c r="K13" s="398">
        <v>1</v>
      </c>
      <c r="L13" s="398">
        <v>1</v>
      </c>
      <c r="M13" s="397">
        <f t="shared" si="2"/>
        <v>0.27</v>
      </c>
      <c r="N13" s="396">
        <v>0.28000000000000003</v>
      </c>
      <c r="O13" s="398" t="e">
        <f>VLOOKUP(Dades!#REF!,F.Emissió!$K$22:$P$31,6,FALSE)</f>
        <v>#REF!</v>
      </c>
      <c r="P13" s="398" t="e">
        <f>VLOOKUP(Dades!#REF!,F.Emissió!$S$20:$V$24,4,FALSE)</f>
        <v>#REF!</v>
      </c>
      <c r="Q13" s="362" t="e">
        <f t="shared" si="3"/>
        <v>#REF!</v>
      </c>
      <c r="R13" s="396">
        <v>0.45</v>
      </c>
      <c r="S13" s="398">
        <v>1</v>
      </c>
      <c r="T13" s="362">
        <f t="shared" si="4"/>
        <v>0.45</v>
      </c>
      <c r="U13" s="396">
        <v>0.14000000000000001</v>
      </c>
      <c r="V13" s="398" t="e">
        <f>VLOOKUP(Dades!#REF!,F.Emissió!$S$36:$V$45,4,FALSE)</f>
        <v>#REF!</v>
      </c>
      <c r="W13" s="362" t="e">
        <f t="shared" si="5"/>
        <v>#REF!</v>
      </c>
      <c r="X13" s="396">
        <v>0.81</v>
      </c>
      <c r="Y13" s="398" t="e">
        <f>VLOOKUP(Dades!#REF!,F.Emissió!$Y$22:$AB$29,4,FALSE)</f>
        <v>#REF!</v>
      </c>
      <c r="Z13" s="362" t="e">
        <f t="shared" si="6"/>
        <v>#REF!</v>
      </c>
      <c r="AA13" s="399">
        <v>0.4</v>
      </c>
      <c r="AB13" s="398" t="e">
        <f>VLOOKUP(Dades!#REF!,F.Emissió!$Y$22:$AB$29,4,FALSE)</f>
        <v>#REF!</v>
      </c>
      <c r="AC13" s="400" t="e">
        <f t="shared" si="7"/>
        <v>#REF!</v>
      </c>
      <c r="AD13" s="297"/>
      <c r="AE13" s="396">
        <v>0.01</v>
      </c>
      <c r="AF13" s="395">
        <v>0.3</v>
      </c>
      <c r="AG13" s="362">
        <v>0.01</v>
      </c>
      <c r="AH13" s="396">
        <v>0</v>
      </c>
      <c r="AI13" s="395">
        <v>3.0000000000000001E-3</v>
      </c>
      <c r="AJ13" s="362">
        <v>1E-4</v>
      </c>
      <c r="AL13" s="269"/>
      <c r="AM13" s="416"/>
    </row>
    <row r="14" spans="1:39" s="402" customFormat="1" hidden="1" x14ac:dyDescent="0.3">
      <c r="A14" s="360" t="s">
        <v>23</v>
      </c>
      <c r="B14" s="361" t="s">
        <v>4</v>
      </c>
      <c r="C14" s="395" t="s">
        <v>32</v>
      </c>
      <c r="D14" s="396">
        <v>0.25</v>
      </c>
      <c r="E14" s="395">
        <v>1</v>
      </c>
      <c r="F14" s="397">
        <f t="shared" si="0"/>
        <v>0.25</v>
      </c>
      <c r="G14" s="396">
        <v>0.53</v>
      </c>
      <c r="H14" s="395">
        <v>1</v>
      </c>
      <c r="I14" s="362">
        <f t="shared" si="1"/>
        <v>0.53</v>
      </c>
      <c r="J14" s="396">
        <v>0.27</v>
      </c>
      <c r="K14" s="398">
        <v>1</v>
      </c>
      <c r="L14" s="398">
        <v>1</v>
      </c>
      <c r="M14" s="397">
        <f t="shared" si="2"/>
        <v>0.27</v>
      </c>
      <c r="N14" s="396">
        <v>0.28000000000000003</v>
      </c>
      <c r="O14" s="398" t="e">
        <f>VLOOKUP(Dades!#REF!,F.Emissió!$K$22:$P$31,6,FALSE)</f>
        <v>#REF!</v>
      </c>
      <c r="P14" s="398" t="e">
        <f>VLOOKUP(Dades!#REF!,F.Emissió!$S$20:$V$24,4,FALSE)</f>
        <v>#REF!</v>
      </c>
      <c r="Q14" s="362" t="e">
        <f t="shared" si="3"/>
        <v>#REF!</v>
      </c>
      <c r="R14" s="396">
        <v>0.45</v>
      </c>
      <c r="S14" s="398">
        <v>1</v>
      </c>
      <c r="T14" s="362">
        <f t="shared" si="4"/>
        <v>0.45</v>
      </c>
      <c r="U14" s="396">
        <v>0.14000000000000001</v>
      </c>
      <c r="V14" s="398" t="e">
        <f>VLOOKUP(Dades!#REF!,F.Emissió!$S$36:$V$45,4,FALSE)</f>
        <v>#REF!</v>
      </c>
      <c r="W14" s="362" t="e">
        <f t="shared" si="5"/>
        <v>#REF!</v>
      </c>
      <c r="X14" s="396">
        <v>0.81</v>
      </c>
      <c r="Y14" s="398" t="e">
        <f>VLOOKUP(Dades!#REF!,F.Emissió!$Y$22:$AB$29,4,FALSE)</f>
        <v>#REF!</v>
      </c>
      <c r="Z14" s="362" t="e">
        <f t="shared" si="6"/>
        <v>#REF!</v>
      </c>
      <c r="AA14" s="399">
        <v>0.4</v>
      </c>
      <c r="AB14" s="398" t="e">
        <f>VLOOKUP(Dades!#REF!,F.Emissió!$Y$22:$AB$29,4,FALSE)</f>
        <v>#REF!</v>
      </c>
      <c r="AC14" s="400" t="e">
        <f t="shared" si="7"/>
        <v>#REF!</v>
      </c>
      <c r="AD14" s="297"/>
      <c r="AE14" s="396">
        <v>0.01</v>
      </c>
      <c r="AF14" s="395">
        <v>0.3</v>
      </c>
      <c r="AG14" s="362">
        <v>0.01</v>
      </c>
      <c r="AH14" s="396">
        <v>0</v>
      </c>
      <c r="AI14" s="395">
        <v>3.0000000000000001E-3</v>
      </c>
      <c r="AJ14" s="362">
        <v>1E-4</v>
      </c>
      <c r="AL14" s="269"/>
      <c r="AM14" s="416"/>
    </row>
    <row r="15" spans="1:39" s="402" customFormat="1" hidden="1" x14ac:dyDescent="0.3">
      <c r="A15" s="360" t="s">
        <v>23</v>
      </c>
      <c r="B15" s="361" t="s">
        <v>3</v>
      </c>
      <c r="C15" s="395" t="s">
        <v>32</v>
      </c>
      <c r="D15" s="396">
        <v>0.25</v>
      </c>
      <c r="E15" s="395">
        <v>1</v>
      </c>
      <c r="F15" s="397">
        <f t="shared" si="0"/>
        <v>0.25</v>
      </c>
      <c r="G15" s="396">
        <v>0.53</v>
      </c>
      <c r="H15" s="395">
        <v>1</v>
      </c>
      <c r="I15" s="362">
        <f t="shared" si="1"/>
        <v>0.53</v>
      </c>
      <c r="J15" s="396">
        <v>0.27</v>
      </c>
      <c r="K15" s="398">
        <v>1</v>
      </c>
      <c r="L15" s="398">
        <v>1</v>
      </c>
      <c r="M15" s="397">
        <f t="shared" si="2"/>
        <v>0.27</v>
      </c>
      <c r="N15" s="396">
        <v>0.28000000000000003</v>
      </c>
      <c r="O15" s="398" t="e">
        <f>VLOOKUP(Dades!#REF!,F.Emissió!$K$22:$P$31,6,FALSE)</f>
        <v>#REF!</v>
      </c>
      <c r="P15" s="398" t="e">
        <f>VLOOKUP(Dades!#REF!,F.Emissió!$S$20:$V$24,4,FALSE)</f>
        <v>#REF!</v>
      </c>
      <c r="Q15" s="362" t="e">
        <f t="shared" si="3"/>
        <v>#REF!</v>
      </c>
      <c r="R15" s="396">
        <v>0.45</v>
      </c>
      <c r="S15" s="398">
        <v>1</v>
      </c>
      <c r="T15" s="362">
        <f t="shared" si="4"/>
        <v>0.45</v>
      </c>
      <c r="U15" s="396">
        <v>0.14000000000000001</v>
      </c>
      <c r="V15" s="398" t="e">
        <f>VLOOKUP(Dades!#REF!,F.Emissió!$S$36:$V$45,4,FALSE)</f>
        <v>#REF!</v>
      </c>
      <c r="W15" s="362" t="e">
        <f t="shared" si="5"/>
        <v>#REF!</v>
      </c>
      <c r="X15" s="396">
        <v>0.81</v>
      </c>
      <c r="Y15" s="398" t="e">
        <f>VLOOKUP(Dades!#REF!,F.Emissió!$Y$22:$AB$29,4,FALSE)</f>
        <v>#REF!</v>
      </c>
      <c r="Z15" s="362" t="e">
        <f t="shared" si="6"/>
        <v>#REF!</v>
      </c>
      <c r="AA15" s="399">
        <v>0.4</v>
      </c>
      <c r="AB15" s="398" t="e">
        <f>VLOOKUP(Dades!#REF!,F.Emissió!$Y$22:$AB$29,4,FALSE)</f>
        <v>#REF!</v>
      </c>
      <c r="AC15" s="400" t="e">
        <f t="shared" si="7"/>
        <v>#REF!</v>
      </c>
      <c r="AD15" s="297"/>
      <c r="AE15" s="396">
        <v>0.01</v>
      </c>
      <c r="AF15" s="395">
        <v>0.3</v>
      </c>
      <c r="AG15" s="362">
        <v>0.01</v>
      </c>
      <c r="AH15" s="396">
        <v>0</v>
      </c>
      <c r="AI15" s="395">
        <v>3.0000000000000001E-3</v>
      </c>
      <c r="AJ15" s="362">
        <v>1E-4</v>
      </c>
      <c r="AL15" s="269"/>
      <c r="AM15" s="416"/>
    </row>
    <row r="16" spans="1:39" s="402" customFormat="1" ht="15" hidden="1" thickBot="1" x14ac:dyDescent="0.35">
      <c r="A16" s="382" t="s">
        <v>23</v>
      </c>
      <c r="B16" s="383" t="s">
        <v>10</v>
      </c>
      <c r="C16" s="407" t="s">
        <v>32</v>
      </c>
      <c r="D16" s="408">
        <v>0.25</v>
      </c>
      <c r="E16" s="407">
        <v>1</v>
      </c>
      <c r="F16" s="409">
        <f t="shared" si="0"/>
        <v>0.25</v>
      </c>
      <c r="G16" s="408">
        <v>0.53</v>
      </c>
      <c r="H16" s="407">
        <v>1</v>
      </c>
      <c r="I16" s="384">
        <f t="shared" si="1"/>
        <v>0.53</v>
      </c>
      <c r="J16" s="408">
        <v>0.27</v>
      </c>
      <c r="K16" s="410">
        <v>1</v>
      </c>
      <c r="L16" s="410">
        <v>1</v>
      </c>
      <c r="M16" s="409">
        <f t="shared" si="2"/>
        <v>0.27</v>
      </c>
      <c r="N16" s="408">
        <v>0.28000000000000003</v>
      </c>
      <c r="O16" s="410" t="e">
        <f>VLOOKUP(Dades!#REF!,F.Emissió!$K$22:$P$31,6,FALSE)</f>
        <v>#REF!</v>
      </c>
      <c r="P16" s="410" t="e">
        <f>VLOOKUP(Dades!#REF!,F.Emissió!$S$20:$V$24,4,FALSE)</f>
        <v>#REF!</v>
      </c>
      <c r="Q16" s="384" t="e">
        <f t="shared" si="3"/>
        <v>#REF!</v>
      </c>
      <c r="R16" s="408">
        <v>0.45</v>
      </c>
      <c r="S16" s="410">
        <v>1</v>
      </c>
      <c r="T16" s="384">
        <f t="shared" si="4"/>
        <v>0.45</v>
      </c>
      <c r="U16" s="408">
        <v>0.14000000000000001</v>
      </c>
      <c r="V16" s="410" t="e">
        <f>VLOOKUP(Dades!#REF!,F.Emissió!$S$36:$V$45,4,FALSE)</f>
        <v>#REF!</v>
      </c>
      <c r="W16" s="384" t="e">
        <f t="shared" si="5"/>
        <v>#REF!</v>
      </c>
      <c r="X16" s="408">
        <v>0.81</v>
      </c>
      <c r="Y16" s="410" t="e">
        <f>VLOOKUP(Dades!#REF!,F.Emissió!$Y$22:$AB$29,4,FALSE)</f>
        <v>#REF!</v>
      </c>
      <c r="Z16" s="384" t="e">
        <f t="shared" si="6"/>
        <v>#REF!</v>
      </c>
      <c r="AA16" s="411">
        <v>0.4</v>
      </c>
      <c r="AB16" s="410" t="e">
        <f>VLOOKUP(Dades!#REF!,F.Emissió!$Y$22:$AB$29,4,FALSE)</f>
        <v>#REF!</v>
      </c>
      <c r="AC16" s="412" t="e">
        <f t="shared" si="7"/>
        <v>#REF!</v>
      </c>
      <c r="AD16" s="297"/>
      <c r="AE16" s="408">
        <v>0.01</v>
      </c>
      <c r="AF16" s="407">
        <v>0.3</v>
      </c>
      <c r="AG16" s="384">
        <v>0.01</v>
      </c>
      <c r="AH16" s="408">
        <v>0</v>
      </c>
      <c r="AI16" s="407">
        <v>3.0000000000000001E-3</v>
      </c>
      <c r="AJ16" s="384">
        <v>1E-4</v>
      </c>
      <c r="AL16" s="270"/>
      <c r="AM16" s="417"/>
    </row>
    <row r="18" spans="5:32" ht="15" thickBot="1" x14ac:dyDescent="0.35"/>
    <row r="19" spans="5:32" ht="16.2" thickBot="1" x14ac:dyDescent="0.35">
      <c r="J19" s="235" t="s">
        <v>206</v>
      </c>
      <c r="P19" s="236" t="s">
        <v>0</v>
      </c>
      <c r="R19" s="214" t="s">
        <v>231</v>
      </c>
      <c r="S19" s="215"/>
      <c r="T19" s="216"/>
      <c r="U19" s="230" t="s">
        <v>232</v>
      </c>
      <c r="V19" s="219" t="s">
        <v>203</v>
      </c>
      <c r="X19" s="235" t="s">
        <v>206</v>
      </c>
      <c r="AB19" s="236" t="s">
        <v>208</v>
      </c>
    </row>
    <row r="20" spans="5:32" x14ac:dyDescent="0.3">
      <c r="R20" s="211" t="s">
        <v>348</v>
      </c>
      <c r="S20" s="436" t="s">
        <v>227</v>
      </c>
      <c r="U20" s="212">
        <v>0</v>
      </c>
      <c r="V20" s="224">
        <f>1-U20</f>
        <v>1</v>
      </c>
      <c r="AD20" s="519" t="s">
        <v>317</v>
      </c>
      <c r="AE20" s="271"/>
      <c r="AF20" s="274"/>
    </row>
    <row r="21" spans="5:32" x14ac:dyDescent="0.3">
      <c r="J21" s="208" t="s">
        <v>392</v>
      </c>
      <c r="K21" s="209"/>
      <c r="L21" s="210"/>
      <c r="M21" s="210"/>
      <c r="N21" s="210"/>
      <c r="O21" s="218" t="s">
        <v>232</v>
      </c>
      <c r="P21" s="217" t="s">
        <v>203</v>
      </c>
      <c r="R21" s="211" t="s">
        <v>349</v>
      </c>
      <c r="S21" s="436" t="s">
        <v>228</v>
      </c>
      <c r="U21" s="211">
        <v>0.25</v>
      </c>
      <c r="V21" s="224">
        <f t="shared" ref="V21:V24" si="8">1-U21</f>
        <v>0.75</v>
      </c>
      <c r="X21" s="225" t="s">
        <v>419</v>
      </c>
      <c r="Y21" s="226"/>
      <c r="Z21" s="226"/>
      <c r="AA21" s="228" t="s">
        <v>202</v>
      </c>
      <c r="AB21" s="227" t="s">
        <v>203</v>
      </c>
      <c r="AD21" s="518">
        <v>0</v>
      </c>
      <c r="AE21" s="2"/>
      <c r="AF21" s="465"/>
    </row>
    <row r="22" spans="5:32" x14ac:dyDescent="0.3">
      <c r="I22" s="1"/>
      <c r="J22" s="443" t="s">
        <v>342</v>
      </c>
      <c r="K22" s="442" t="s">
        <v>219</v>
      </c>
      <c r="O22" s="212">
        <v>0</v>
      </c>
      <c r="P22" s="224">
        <f>1-O22</f>
        <v>1</v>
      </c>
      <c r="R22" s="211" t="s">
        <v>350</v>
      </c>
      <c r="S22" s="436" t="s">
        <v>229</v>
      </c>
      <c r="U22" s="212">
        <v>0.4</v>
      </c>
      <c r="V22" s="224">
        <f t="shared" si="8"/>
        <v>0.6</v>
      </c>
      <c r="X22" s="211" t="s">
        <v>363</v>
      </c>
      <c r="Y22" s="296" t="s">
        <v>241</v>
      </c>
      <c r="Z22" s="297"/>
      <c r="AA22" s="298">
        <v>0</v>
      </c>
      <c r="AB22" s="299">
        <f>1-AA22</f>
        <v>1</v>
      </c>
      <c r="AD22" s="518">
        <v>0.1</v>
      </c>
      <c r="AE22" s="2"/>
      <c r="AF22" s="465"/>
    </row>
    <row r="23" spans="5:32" x14ac:dyDescent="0.3">
      <c r="I23" s="1"/>
      <c r="J23" s="443" t="s">
        <v>343</v>
      </c>
      <c r="K23" s="442" t="s">
        <v>220</v>
      </c>
      <c r="O23" s="212">
        <v>0.2</v>
      </c>
      <c r="P23" s="224">
        <f t="shared" ref="P23:P26" si="9">1-O23</f>
        <v>0.8</v>
      </c>
      <c r="R23" s="211" t="s">
        <v>351</v>
      </c>
      <c r="S23" s="9" t="s">
        <v>230</v>
      </c>
      <c r="U23" s="212">
        <v>0.5</v>
      </c>
      <c r="V23" s="224">
        <f t="shared" si="8"/>
        <v>0.5</v>
      </c>
      <c r="X23" s="211" t="s">
        <v>364</v>
      </c>
      <c r="Y23" s="9" t="s">
        <v>242</v>
      </c>
      <c r="AA23" s="212">
        <v>0.7</v>
      </c>
      <c r="AB23" s="224">
        <f t="shared" ref="AB23:AB29" si="10">1-AA23</f>
        <v>0.30000000000000004</v>
      </c>
      <c r="AD23" s="518">
        <v>0.2</v>
      </c>
      <c r="AE23" s="2"/>
      <c r="AF23" s="465"/>
    </row>
    <row r="24" spans="5:32" x14ac:dyDescent="0.3">
      <c r="I24" s="1"/>
      <c r="J24" s="443" t="s">
        <v>344</v>
      </c>
      <c r="K24" s="442" t="s">
        <v>221</v>
      </c>
      <c r="O24" s="212">
        <v>0.65</v>
      </c>
      <c r="P24" s="224">
        <f t="shared" si="9"/>
        <v>0.35</v>
      </c>
      <c r="R24" s="211" t="s">
        <v>352</v>
      </c>
      <c r="S24" s="9" t="s">
        <v>396</v>
      </c>
      <c r="U24" s="211">
        <v>0.65</v>
      </c>
      <c r="V24" s="224">
        <f t="shared" si="8"/>
        <v>0.35</v>
      </c>
      <c r="X24" s="211" t="s">
        <v>365</v>
      </c>
      <c r="Y24" s="9" t="s">
        <v>276</v>
      </c>
      <c r="AA24" s="212">
        <v>0.8</v>
      </c>
      <c r="AB24" s="224">
        <f t="shared" si="10"/>
        <v>0.19999999999999996</v>
      </c>
      <c r="AD24" s="518">
        <v>0.3</v>
      </c>
      <c r="AE24" s="2"/>
      <c r="AF24" s="465"/>
    </row>
    <row r="25" spans="5:32" x14ac:dyDescent="0.3">
      <c r="I25" s="1"/>
      <c r="J25" s="443" t="s">
        <v>379</v>
      </c>
      <c r="K25" s="442" t="s">
        <v>222</v>
      </c>
      <c r="O25" s="212">
        <v>0.6</v>
      </c>
      <c r="P25" s="224">
        <f t="shared" si="9"/>
        <v>0.4</v>
      </c>
      <c r="X25" s="211" t="s">
        <v>366</v>
      </c>
      <c r="Y25" s="9" t="s">
        <v>438</v>
      </c>
      <c r="AA25" s="212">
        <v>0.9</v>
      </c>
      <c r="AB25" s="224">
        <f t="shared" si="10"/>
        <v>9.9999999999999978E-2</v>
      </c>
      <c r="AD25" s="518">
        <v>0.4</v>
      </c>
      <c r="AE25" s="2"/>
      <c r="AF25" s="465"/>
    </row>
    <row r="26" spans="5:32" ht="43.2" x14ac:dyDescent="0.3">
      <c r="I26" s="1"/>
      <c r="J26" s="443" t="s">
        <v>380</v>
      </c>
      <c r="K26" s="442" t="s">
        <v>381</v>
      </c>
      <c r="O26" s="212">
        <v>0.5</v>
      </c>
      <c r="P26" s="224">
        <f t="shared" si="9"/>
        <v>0.5</v>
      </c>
      <c r="R26" s="438" t="s">
        <v>371</v>
      </c>
      <c r="S26" s="436" t="s">
        <v>372</v>
      </c>
      <c r="T26" s="437"/>
      <c r="U26" s="280"/>
      <c r="X26" s="211" t="s">
        <v>367</v>
      </c>
      <c r="Y26" s="9" t="s">
        <v>277</v>
      </c>
      <c r="AA26" s="212">
        <v>0.32500000000000001</v>
      </c>
      <c r="AB26" s="224">
        <f t="shared" si="10"/>
        <v>0.67500000000000004</v>
      </c>
      <c r="AD26" s="518">
        <v>0.5</v>
      </c>
      <c r="AE26" s="2"/>
      <c r="AF26" s="465"/>
    </row>
    <row r="27" spans="5:32" x14ac:dyDescent="0.3">
      <c r="I27" s="1"/>
      <c r="J27" s="446" t="s">
        <v>382</v>
      </c>
      <c r="K27" s="447" t="s">
        <v>223</v>
      </c>
      <c r="O27" s="212">
        <v>0.6</v>
      </c>
      <c r="P27" s="224">
        <f t="shared" ref="P27:P32" si="11">1-O27</f>
        <v>0.4</v>
      </c>
      <c r="R27" s="278" t="s">
        <v>248</v>
      </c>
      <c r="S27" s="436" t="s">
        <v>250</v>
      </c>
      <c r="T27" s="277"/>
      <c r="V27" s="277"/>
      <c r="X27" s="211" t="s">
        <v>368</v>
      </c>
      <c r="Y27" s="9" t="s">
        <v>278</v>
      </c>
      <c r="AA27" s="212">
        <v>0.45</v>
      </c>
      <c r="AB27" s="224">
        <f t="shared" si="10"/>
        <v>0.55000000000000004</v>
      </c>
      <c r="AD27" s="518">
        <v>0.6</v>
      </c>
      <c r="AE27" s="2"/>
      <c r="AF27" s="465"/>
    </row>
    <row r="28" spans="5:32" x14ac:dyDescent="0.3">
      <c r="I28" s="1"/>
      <c r="J28" s="446" t="s">
        <v>383</v>
      </c>
      <c r="K28" s="447" t="s">
        <v>384</v>
      </c>
      <c r="O28" s="212">
        <v>0.45</v>
      </c>
      <c r="P28" s="224">
        <f t="shared" si="11"/>
        <v>0.55000000000000004</v>
      </c>
      <c r="R28" s="278" t="s">
        <v>249</v>
      </c>
      <c r="S28" s="9" t="s">
        <v>252</v>
      </c>
      <c r="X28" s="211" t="s">
        <v>369</v>
      </c>
      <c r="Y28" s="9" t="s">
        <v>243</v>
      </c>
      <c r="AA28" s="212">
        <v>0.3</v>
      </c>
      <c r="AB28" s="224">
        <f t="shared" si="10"/>
        <v>0.7</v>
      </c>
      <c r="AD28" s="518">
        <v>0.7</v>
      </c>
      <c r="AE28" s="2"/>
      <c r="AF28" s="465"/>
    </row>
    <row r="29" spans="5:32" x14ac:dyDescent="0.3">
      <c r="I29" s="1"/>
      <c r="J29" s="443" t="s">
        <v>345</v>
      </c>
      <c r="K29" s="442" t="s">
        <v>224</v>
      </c>
      <c r="O29" s="212">
        <v>0.65</v>
      </c>
      <c r="P29" s="224">
        <f t="shared" si="11"/>
        <v>0.35</v>
      </c>
      <c r="R29" s="278" t="s">
        <v>249</v>
      </c>
      <c r="S29" s="9" t="s">
        <v>251</v>
      </c>
      <c r="X29" s="211" t="s">
        <v>370</v>
      </c>
      <c r="Y29" s="9" t="s">
        <v>393</v>
      </c>
      <c r="AA29" s="212">
        <v>0.5</v>
      </c>
      <c r="AB29" s="224">
        <f t="shared" si="10"/>
        <v>0.5</v>
      </c>
      <c r="AD29" s="518">
        <v>0.8</v>
      </c>
      <c r="AE29" s="2"/>
      <c r="AF29" s="465"/>
    </row>
    <row r="30" spans="5:32" x14ac:dyDescent="0.3">
      <c r="E30" s="22"/>
      <c r="I30" s="1"/>
      <c r="J30" s="443" t="s">
        <v>346</v>
      </c>
      <c r="K30" s="442" t="s">
        <v>225</v>
      </c>
      <c r="O30" s="448">
        <v>0.45</v>
      </c>
      <c r="P30" s="224">
        <f t="shared" si="11"/>
        <v>0.55000000000000004</v>
      </c>
      <c r="S30" s="339" t="s">
        <v>318</v>
      </c>
      <c r="AD30" s="518">
        <v>0.9</v>
      </c>
      <c r="AE30" s="2"/>
      <c r="AF30" s="465"/>
    </row>
    <row r="31" spans="5:32" ht="13.95" x14ac:dyDescent="0.3">
      <c r="I31" s="1"/>
      <c r="J31" s="443" t="s">
        <v>347</v>
      </c>
      <c r="K31" s="442" t="s">
        <v>226</v>
      </c>
      <c r="O31" s="449">
        <v>0.625</v>
      </c>
      <c r="P31" s="441">
        <f t="shared" si="11"/>
        <v>0.375</v>
      </c>
      <c r="AD31" s="275">
        <v>1</v>
      </c>
      <c r="AE31" s="273"/>
      <c r="AF31" s="276"/>
    </row>
    <row r="32" spans="5:32" ht="15" thickBot="1" x14ac:dyDescent="0.35">
      <c r="I32" s="1"/>
      <c r="J32" s="443" t="s">
        <v>378</v>
      </c>
      <c r="K32" t="s">
        <v>377</v>
      </c>
      <c r="N32" s="440"/>
      <c r="O32" s="212">
        <v>0.8</v>
      </c>
      <c r="P32" s="224">
        <f t="shared" si="11"/>
        <v>0.19999999999999996</v>
      </c>
    </row>
    <row r="33" spans="5:26" ht="16.2" thickBot="1" x14ac:dyDescent="0.35">
      <c r="I33" s="1"/>
      <c r="J33" s="443" t="s">
        <v>385</v>
      </c>
      <c r="K33" t="s">
        <v>386</v>
      </c>
      <c r="O33" s="212">
        <v>0.25</v>
      </c>
      <c r="P33" s="224">
        <f>1-O33</f>
        <v>0.75</v>
      </c>
      <c r="R33" s="235" t="s">
        <v>206</v>
      </c>
      <c r="V33" s="236" t="s">
        <v>207</v>
      </c>
    </row>
    <row r="34" spans="5:26" x14ac:dyDescent="0.3">
      <c r="I34" s="1"/>
      <c r="J34" s="443" t="s">
        <v>387</v>
      </c>
      <c r="K34" t="s">
        <v>388</v>
      </c>
      <c r="O34" s="212">
        <v>0.13</v>
      </c>
      <c r="P34" s="224">
        <f>1-O34</f>
        <v>0.87</v>
      </c>
    </row>
    <row r="35" spans="5:26" x14ac:dyDescent="0.3">
      <c r="I35" s="1"/>
      <c r="J35" s="443" t="s">
        <v>389</v>
      </c>
      <c r="K35" t="s">
        <v>390</v>
      </c>
      <c r="O35" s="212">
        <v>0.25</v>
      </c>
      <c r="P35" s="224">
        <f>1-O35</f>
        <v>0.75</v>
      </c>
      <c r="R35" s="220" t="s">
        <v>420</v>
      </c>
      <c r="S35" s="221"/>
      <c r="T35" s="221"/>
      <c r="U35" s="222" t="s">
        <v>202</v>
      </c>
      <c r="V35" s="223" t="s">
        <v>203</v>
      </c>
      <c r="X35" s="527" t="s">
        <v>421</v>
      </c>
      <c r="Y35" s="527"/>
      <c r="Z35" s="527"/>
    </row>
    <row r="36" spans="5:26" x14ac:dyDescent="0.3">
      <c r="I36" s="1"/>
      <c r="J36" s="443" t="s">
        <v>391</v>
      </c>
      <c r="K36" t="s">
        <v>239</v>
      </c>
      <c r="O36" s="212">
        <v>0.8</v>
      </c>
      <c r="P36" s="224">
        <f>1-O36</f>
        <v>0.19999999999999996</v>
      </c>
      <c r="R36" s="22" t="s">
        <v>353</v>
      </c>
      <c r="S36" s="9" t="s">
        <v>233</v>
      </c>
      <c r="U36" s="212">
        <v>0</v>
      </c>
      <c r="V36" s="224">
        <f t="shared" ref="V36:V44" si="12">1-U36</f>
        <v>1</v>
      </c>
      <c r="X36" s="444" t="s">
        <v>434</v>
      </c>
      <c r="Y36" s="528" t="s">
        <v>428</v>
      </c>
    </row>
    <row r="37" spans="5:26" ht="13.95" x14ac:dyDescent="0.3">
      <c r="E37" s="213"/>
      <c r="I37" s="450"/>
      <c r="J37" s="446"/>
      <c r="K37" s="447"/>
      <c r="L37" s="268"/>
      <c r="M37" s="268"/>
      <c r="N37" s="440"/>
      <c r="O37" s="212"/>
      <c r="P37" s="224"/>
      <c r="R37" s="211" t="s">
        <v>354</v>
      </c>
      <c r="S37" s="9" t="s">
        <v>234</v>
      </c>
      <c r="U37" s="212">
        <v>0.4</v>
      </c>
      <c r="V37" s="224">
        <f t="shared" si="12"/>
        <v>0.6</v>
      </c>
      <c r="X37" t="s">
        <v>427</v>
      </c>
      <c r="Y37" s="528" t="s">
        <v>423</v>
      </c>
    </row>
    <row r="38" spans="5:26" x14ac:dyDescent="0.3">
      <c r="E38" s="213"/>
      <c r="I38" s="450"/>
      <c r="J38" s="446"/>
      <c r="K38" s="447"/>
      <c r="L38" s="268"/>
      <c r="M38" s="268"/>
      <c r="N38" s="440"/>
      <c r="O38" s="212"/>
      <c r="P38" s="224"/>
      <c r="R38" s="211" t="s">
        <v>355</v>
      </c>
      <c r="S38" s="9" t="s">
        <v>235</v>
      </c>
      <c r="U38" s="212">
        <v>0.8</v>
      </c>
      <c r="V38" s="224">
        <f t="shared" si="12"/>
        <v>0.19999999999999996</v>
      </c>
      <c r="X38" t="s">
        <v>425</v>
      </c>
      <c r="Y38" s="528" t="s">
        <v>422</v>
      </c>
    </row>
    <row r="39" spans="5:26" x14ac:dyDescent="0.3">
      <c r="R39" s="211" t="s">
        <v>356</v>
      </c>
      <c r="S39" s="279" t="s">
        <v>398</v>
      </c>
      <c r="U39" s="212">
        <v>0.6</v>
      </c>
      <c r="V39" s="224">
        <f t="shared" si="12"/>
        <v>0.4</v>
      </c>
      <c r="X39" t="s">
        <v>424</v>
      </c>
      <c r="Y39" s="528" t="s">
        <v>433</v>
      </c>
    </row>
    <row r="40" spans="5:26" x14ac:dyDescent="0.3">
      <c r="R40" s="211" t="s">
        <v>357</v>
      </c>
      <c r="S40" s="279" t="s">
        <v>240</v>
      </c>
      <c r="U40" s="212">
        <v>1</v>
      </c>
      <c r="V40" s="224">
        <f t="shared" si="12"/>
        <v>0</v>
      </c>
      <c r="X40" t="s">
        <v>426</v>
      </c>
      <c r="Y40" s="528" t="s">
        <v>432</v>
      </c>
    </row>
    <row r="41" spans="5:26" x14ac:dyDescent="0.3">
      <c r="J41" s="208" t="s">
        <v>394</v>
      </c>
      <c r="K41" s="209"/>
      <c r="L41" s="210"/>
      <c r="M41" s="210"/>
      <c r="N41" s="210"/>
      <c r="O41" s="218" t="s">
        <v>232</v>
      </c>
      <c r="P41" s="217" t="s">
        <v>203</v>
      </c>
      <c r="R41" s="211" t="s">
        <v>358</v>
      </c>
      <c r="S41" s="9" t="s">
        <v>236</v>
      </c>
      <c r="U41" s="212">
        <v>0.5</v>
      </c>
      <c r="V41" s="224">
        <f t="shared" si="12"/>
        <v>0.5</v>
      </c>
      <c r="Y41" s="528"/>
    </row>
    <row r="42" spans="5:26" x14ac:dyDescent="0.3">
      <c r="J42" s="443" t="s">
        <v>342</v>
      </c>
      <c r="K42" s="442" t="s">
        <v>219</v>
      </c>
      <c r="O42" s="212">
        <v>0</v>
      </c>
      <c r="P42" s="224">
        <f>1-O42</f>
        <v>1</v>
      </c>
      <c r="R42" s="211" t="s">
        <v>359</v>
      </c>
      <c r="S42" s="9" t="s">
        <v>237</v>
      </c>
      <c r="U42" s="212">
        <v>0.6</v>
      </c>
      <c r="V42" s="224">
        <f t="shared" si="12"/>
        <v>0.4</v>
      </c>
    </row>
    <row r="43" spans="5:26" x14ac:dyDescent="0.3">
      <c r="J43" s="443" t="s">
        <v>343</v>
      </c>
      <c r="K43" s="442" t="s">
        <v>220</v>
      </c>
      <c r="O43" s="212">
        <v>0.2</v>
      </c>
      <c r="P43" s="224">
        <f t="shared" ref="P43:P53" si="13">1-O43</f>
        <v>0.8</v>
      </c>
      <c r="R43" s="211" t="s">
        <v>360</v>
      </c>
      <c r="S43" s="9" t="s">
        <v>238</v>
      </c>
      <c r="U43" s="212">
        <v>0.45</v>
      </c>
      <c r="V43" s="224">
        <f t="shared" si="12"/>
        <v>0.55000000000000004</v>
      </c>
    </row>
    <row r="44" spans="5:26" x14ac:dyDescent="0.3">
      <c r="J44" s="443" t="s">
        <v>344</v>
      </c>
      <c r="K44" s="442" t="s">
        <v>221</v>
      </c>
      <c r="O44" s="212">
        <v>0.65</v>
      </c>
      <c r="P44" s="224">
        <f t="shared" si="13"/>
        <v>0.35</v>
      </c>
      <c r="R44" s="211" t="s">
        <v>361</v>
      </c>
      <c r="S44" s="9" t="s">
        <v>399</v>
      </c>
      <c r="U44" s="212">
        <v>0.25</v>
      </c>
      <c r="V44" s="224">
        <f t="shared" si="12"/>
        <v>0.75</v>
      </c>
    </row>
    <row r="45" spans="5:26" x14ac:dyDescent="0.3">
      <c r="J45" s="443" t="s">
        <v>379</v>
      </c>
      <c r="K45" s="442" t="s">
        <v>222</v>
      </c>
      <c r="O45" s="212">
        <v>0.6</v>
      </c>
      <c r="P45" s="224">
        <f t="shared" si="13"/>
        <v>0.4</v>
      </c>
      <c r="R45" s="211" t="s">
        <v>362</v>
      </c>
      <c r="S45" s="9" t="s">
        <v>239</v>
      </c>
      <c r="U45" s="212">
        <v>0.8</v>
      </c>
      <c r="V45" s="224">
        <f>1-U45</f>
        <v>0.19999999999999996</v>
      </c>
    </row>
    <row r="46" spans="5:26" x14ac:dyDescent="0.3">
      <c r="J46" s="443" t="s">
        <v>380</v>
      </c>
      <c r="K46" s="442" t="s">
        <v>381</v>
      </c>
      <c r="O46" s="212">
        <v>0.5</v>
      </c>
      <c r="P46" s="224">
        <f t="shared" si="13"/>
        <v>0.5</v>
      </c>
    </row>
    <row r="47" spans="5:26" x14ac:dyDescent="0.3">
      <c r="J47" s="446" t="s">
        <v>382</v>
      </c>
      <c r="K47" s="447" t="s">
        <v>223</v>
      </c>
      <c r="O47" s="212">
        <v>0.6</v>
      </c>
      <c r="P47" s="224">
        <f t="shared" si="13"/>
        <v>0.4</v>
      </c>
    </row>
    <row r="48" spans="5:26" x14ac:dyDescent="0.3">
      <c r="J48" s="446" t="s">
        <v>383</v>
      </c>
      <c r="K48" s="447" t="s">
        <v>384</v>
      </c>
      <c r="O48" s="212">
        <v>0.45</v>
      </c>
      <c r="P48" s="224">
        <f t="shared" si="13"/>
        <v>0.55000000000000004</v>
      </c>
    </row>
    <row r="49" spans="10:16" ht="13.95" x14ac:dyDescent="0.3">
      <c r="J49" s="443" t="s">
        <v>345</v>
      </c>
      <c r="K49" s="442" t="s">
        <v>224</v>
      </c>
      <c r="O49" s="212">
        <v>0.65</v>
      </c>
      <c r="P49" s="224">
        <f t="shared" si="13"/>
        <v>0.35</v>
      </c>
    </row>
    <row r="50" spans="10:16" x14ac:dyDescent="0.3">
      <c r="J50" s="443" t="s">
        <v>346</v>
      </c>
      <c r="K50" s="442" t="s">
        <v>225</v>
      </c>
      <c r="O50" s="448">
        <v>0.45</v>
      </c>
      <c r="P50" s="224">
        <f t="shared" si="13"/>
        <v>0.55000000000000004</v>
      </c>
    </row>
    <row r="51" spans="10:16" ht="13.95" x14ac:dyDescent="0.3">
      <c r="J51" s="443" t="s">
        <v>347</v>
      </c>
      <c r="K51" s="442" t="s">
        <v>226</v>
      </c>
      <c r="O51" s="449">
        <v>0.625</v>
      </c>
      <c r="P51" s="441">
        <f t="shared" si="13"/>
        <v>0.375</v>
      </c>
    </row>
    <row r="52" spans="10:16" x14ac:dyDescent="0.3">
      <c r="J52" s="446" t="s">
        <v>373</v>
      </c>
      <c r="K52" s="447" t="s">
        <v>375</v>
      </c>
      <c r="L52" s="268"/>
      <c r="M52" s="268"/>
      <c r="N52" s="440"/>
      <c r="O52" s="212">
        <v>0.52</v>
      </c>
      <c r="P52" s="224">
        <f>1-O52</f>
        <v>0.48</v>
      </c>
    </row>
    <row r="53" spans="10:16" x14ac:dyDescent="0.3">
      <c r="J53" s="443" t="s">
        <v>378</v>
      </c>
      <c r="K53" t="s">
        <v>377</v>
      </c>
      <c r="N53" s="440"/>
      <c r="O53" s="212">
        <v>0.8</v>
      </c>
      <c r="P53" s="224">
        <f t="shared" si="13"/>
        <v>0.19999999999999996</v>
      </c>
    </row>
    <row r="54" spans="10:16" x14ac:dyDescent="0.3">
      <c r="J54" s="443" t="s">
        <v>385</v>
      </c>
      <c r="K54" t="s">
        <v>386</v>
      </c>
      <c r="O54" s="212">
        <v>0.25</v>
      </c>
      <c r="P54" s="224">
        <f>1-O54</f>
        <v>0.75</v>
      </c>
    </row>
    <row r="55" spans="10:16" x14ac:dyDescent="0.3">
      <c r="J55" s="443" t="s">
        <v>387</v>
      </c>
      <c r="K55" t="s">
        <v>388</v>
      </c>
      <c r="O55" s="212">
        <v>0.13</v>
      </c>
      <c r="P55" s="224">
        <f>1-O55</f>
        <v>0.87</v>
      </c>
    </row>
    <row r="56" spans="10:16" x14ac:dyDescent="0.3">
      <c r="J56" s="443" t="s">
        <v>389</v>
      </c>
      <c r="K56" t="s">
        <v>390</v>
      </c>
      <c r="O56" s="212">
        <v>0.25</v>
      </c>
      <c r="P56" s="224">
        <f>1-O56</f>
        <v>0.75</v>
      </c>
    </row>
    <row r="57" spans="10:16" x14ac:dyDescent="0.3">
      <c r="J57" s="443" t="s">
        <v>391</v>
      </c>
      <c r="K57" t="s">
        <v>239</v>
      </c>
      <c r="O57" s="212">
        <v>0.8</v>
      </c>
      <c r="P57" s="224">
        <f>1-O57</f>
        <v>0.19999999999999996</v>
      </c>
    </row>
    <row r="58" spans="10:16" x14ac:dyDescent="0.3">
      <c r="J58" s="446"/>
      <c r="K58" s="447"/>
      <c r="L58" s="268"/>
      <c r="M58" s="268"/>
      <c r="N58" s="440"/>
      <c r="O58" s="212"/>
      <c r="P58" s="224"/>
    </row>
    <row r="61" spans="10:16" x14ac:dyDescent="0.3">
      <c r="J61" s="208" t="s">
        <v>395</v>
      </c>
      <c r="K61" s="209"/>
      <c r="L61" s="210"/>
      <c r="M61" s="210"/>
      <c r="N61" s="210"/>
      <c r="O61" s="218" t="s">
        <v>232</v>
      </c>
      <c r="P61" s="217" t="s">
        <v>203</v>
      </c>
    </row>
    <row r="62" spans="10:16" x14ac:dyDescent="0.3">
      <c r="J62" s="443" t="s">
        <v>342</v>
      </c>
      <c r="K62" s="442" t="s">
        <v>219</v>
      </c>
      <c r="O62" s="212">
        <v>0</v>
      </c>
      <c r="P62" s="224">
        <f>1-O62</f>
        <v>1</v>
      </c>
    </row>
    <row r="63" spans="10:16" x14ac:dyDescent="0.3">
      <c r="J63" s="443" t="s">
        <v>343</v>
      </c>
      <c r="K63" s="442" t="s">
        <v>220</v>
      </c>
      <c r="O63" s="212">
        <v>0.2</v>
      </c>
      <c r="P63" s="224">
        <f t="shared" ref="P63:P73" si="14">1-O63</f>
        <v>0.8</v>
      </c>
    </row>
    <row r="64" spans="10:16" x14ac:dyDescent="0.3">
      <c r="J64" s="443" t="s">
        <v>344</v>
      </c>
      <c r="K64" s="442" t="s">
        <v>221</v>
      </c>
      <c r="O64" s="212">
        <v>0.65</v>
      </c>
      <c r="P64" s="224">
        <f t="shared" si="14"/>
        <v>0.35</v>
      </c>
    </row>
    <row r="65" spans="10:16" x14ac:dyDescent="0.3">
      <c r="J65" s="443" t="s">
        <v>379</v>
      </c>
      <c r="K65" s="442" t="s">
        <v>222</v>
      </c>
      <c r="O65" s="212">
        <v>0.6</v>
      </c>
      <c r="P65" s="224">
        <f t="shared" si="14"/>
        <v>0.4</v>
      </c>
    </row>
    <row r="66" spans="10:16" x14ac:dyDescent="0.3">
      <c r="J66" s="443" t="s">
        <v>380</v>
      </c>
      <c r="K66" s="442" t="s">
        <v>381</v>
      </c>
      <c r="O66" s="212">
        <v>0.5</v>
      </c>
      <c r="P66" s="224">
        <f t="shared" si="14"/>
        <v>0.5</v>
      </c>
    </row>
    <row r="67" spans="10:16" x14ac:dyDescent="0.3">
      <c r="J67" s="446" t="s">
        <v>382</v>
      </c>
      <c r="K67" s="447" t="s">
        <v>223</v>
      </c>
      <c r="O67" s="212">
        <v>0.6</v>
      </c>
      <c r="P67" s="224">
        <f t="shared" si="14"/>
        <v>0.4</v>
      </c>
    </row>
    <row r="68" spans="10:16" x14ac:dyDescent="0.3">
      <c r="J68" s="446" t="s">
        <v>383</v>
      </c>
      <c r="K68" s="447" t="s">
        <v>384</v>
      </c>
      <c r="O68" s="212">
        <v>0.45</v>
      </c>
      <c r="P68" s="224">
        <f t="shared" si="14"/>
        <v>0.55000000000000004</v>
      </c>
    </row>
    <row r="69" spans="10:16" x14ac:dyDescent="0.3">
      <c r="J69" s="443" t="s">
        <v>345</v>
      </c>
      <c r="K69" s="442" t="s">
        <v>224</v>
      </c>
      <c r="O69" s="212">
        <v>0.65</v>
      </c>
      <c r="P69" s="224">
        <f t="shared" si="14"/>
        <v>0.35</v>
      </c>
    </row>
    <row r="70" spans="10:16" x14ac:dyDescent="0.3">
      <c r="J70" s="443" t="s">
        <v>346</v>
      </c>
      <c r="K70" s="442" t="s">
        <v>225</v>
      </c>
      <c r="O70" s="448">
        <v>0.45</v>
      </c>
      <c r="P70" s="224">
        <f t="shared" si="14"/>
        <v>0.55000000000000004</v>
      </c>
    </row>
    <row r="71" spans="10:16" x14ac:dyDescent="0.3">
      <c r="J71" s="443" t="s">
        <v>347</v>
      </c>
      <c r="K71" s="442" t="s">
        <v>226</v>
      </c>
      <c r="O71" s="449">
        <v>0.625</v>
      </c>
      <c r="P71" s="441">
        <f t="shared" si="14"/>
        <v>0.375</v>
      </c>
    </row>
    <row r="72" spans="10:16" x14ac:dyDescent="0.3">
      <c r="J72" s="446" t="s">
        <v>374</v>
      </c>
      <c r="K72" s="447" t="s">
        <v>376</v>
      </c>
      <c r="L72" s="268"/>
      <c r="M72" s="268"/>
      <c r="N72" s="440"/>
      <c r="O72" s="212">
        <v>0.35</v>
      </c>
      <c r="P72" s="224">
        <f>1-O72</f>
        <v>0.65</v>
      </c>
    </row>
    <row r="73" spans="10:16" x14ac:dyDescent="0.3">
      <c r="J73" s="443" t="s">
        <v>378</v>
      </c>
      <c r="K73" t="s">
        <v>377</v>
      </c>
      <c r="N73" s="440"/>
      <c r="O73" s="212">
        <v>0.8</v>
      </c>
      <c r="P73" s="224">
        <f t="shared" si="14"/>
        <v>0.19999999999999996</v>
      </c>
    </row>
    <row r="74" spans="10:16" x14ac:dyDescent="0.3">
      <c r="J74" s="443" t="s">
        <v>385</v>
      </c>
      <c r="K74" t="s">
        <v>386</v>
      </c>
      <c r="O74" s="212">
        <v>0.25</v>
      </c>
      <c r="P74" s="224">
        <f>1-O74</f>
        <v>0.75</v>
      </c>
    </row>
    <row r="75" spans="10:16" x14ac:dyDescent="0.3">
      <c r="J75" s="443" t="s">
        <v>387</v>
      </c>
      <c r="K75" t="s">
        <v>388</v>
      </c>
      <c r="O75" s="212">
        <v>0.13</v>
      </c>
      <c r="P75" s="224">
        <f>1-O75</f>
        <v>0.87</v>
      </c>
    </row>
    <row r="76" spans="10:16" x14ac:dyDescent="0.3">
      <c r="J76" s="443" t="s">
        <v>389</v>
      </c>
      <c r="K76" t="s">
        <v>390</v>
      </c>
      <c r="O76" s="212">
        <v>0.25</v>
      </c>
      <c r="P76" s="224">
        <f>1-O76</f>
        <v>0.75</v>
      </c>
    </row>
    <row r="77" spans="10:16" x14ac:dyDescent="0.3">
      <c r="J77" s="443" t="s">
        <v>391</v>
      </c>
      <c r="K77" t="s">
        <v>239</v>
      </c>
      <c r="O77" s="212">
        <v>0.8</v>
      </c>
      <c r="P77" s="224">
        <f>1-O77</f>
        <v>0.19999999999999996</v>
      </c>
    </row>
    <row r="78" spans="10:16" x14ac:dyDescent="0.3">
      <c r="J78" s="446"/>
      <c r="K78" s="447"/>
      <c r="L78" s="268"/>
      <c r="M78" s="268"/>
      <c r="N78" s="440"/>
      <c r="O78" s="212"/>
      <c r="P78" s="224"/>
    </row>
  </sheetData>
  <sheetProtection sheet="1" objects="1" scenarios="1" formatCells="0" formatColumns="0"/>
  <sortState ref="AA45:AA48">
    <sortCondition ref="AA45:AA48"/>
  </sortState>
  <customSheetViews>
    <customSheetView guid="{D886BD10-986C-4491-A4B8-2CD64A5C3006}" scale="70" topLeftCell="J1">
      <selection activeCell="K34" sqref="K34"/>
      <pageMargins left="0.7" right="0.7" top="0.75" bottom="0.75" header="0.3" footer="0.3"/>
      <pageSetup paperSize="9" orientation="portrait" r:id="rId1"/>
    </customSheetView>
  </customSheetViews>
  <mergeCells count="14">
    <mergeCell ref="AL1:AM1"/>
    <mergeCell ref="C1:C2"/>
    <mergeCell ref="B1:B2"/>
    <mergeCell ref="A1:A2"/>
    <mergeCell ref="X1:Z1"/>
    <mergeCell ref="AA1:AC1"/>
    <mergeCell ref="D1:F1"/>
    <mergeCell ref="AE1:AG1"/>
    <mergeCell ref="AH1:AJ1"/>
    <mergeCell ref="G1:I1"/>
    <mergeCell ref="J1:M1"/>
    <mergeCell ref="N1:Q1"/>
    <mergeCell ref="R1:T1"/>
    <mergeCell ref="U1:W1"/>
  </mergeCells>
  <pageMargins left="0.7" right="0.7" top="0.75" bottom="0.75" header="0.3" footer="0.3"/>
  <pageSetup paperSize="9" orientation="portrait"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AJ21"/>
  <sheetViews>
    <sheetView zoomScale="85" zoomScaleNormal="85" workbookViewId="0">
      <pane xSplit="4" ySplit="3" topLeftCell="X4" activePane="bottomRight" state="frozen"/>
      <selection pane="topRight" activeCell="E1" sqref="E1"/>
      <selection pane="bottomLeft" activeCell="A4" sqref="A4"/>
      <selection pane="bottomRight" activeCell="A13" sqref="A13"/>
    </sheetView>
  </sheetViews>
  <sheetFormatPr defaultColWidth="11.5546875" defaultRowHeight="14.4" x14ac:dyDescent="0.3"/>
  <cols>
    <col min="1" max="1" width="7" bestFit="1" customWidth="1" collapsed="1"/>
    <col min="2" max="2" width="30.44140625" bestFit="1" customWidth="1" collapsed="1"/>
    <col min="3" max="3" width="10.44140625" bestFit="1" customWidth="1" collapsed="1"/>
    <col min="4" max="4" width="12.6640625" bestFit="1" customWidth="1" collapsed="1"/>
    <col min="5" max="5" width="8" bestFit="1" customWidth="1" collapsed="1"/>
    <col min="6" max="6" width="7.88671875" bestFit="1" customWidth="1" collapsed="1"/>
    <col min="7" max="7" width="8.44140625" bestFit="1" customWidth="1" collapsed="1"/>
    <col min="8" max="8" width="13" bestFit="1" customWidth="1" collapsed="1"/>
    <col min="9" max="9" width="13.44140625" bestFit="1" customWidth="1" collapsed="1"/>
    <col min="10" max="10" width="9.109375" bestFit="1" customWidth="1" collapsed="1"/>
    <col min="11" max="11" width="9.109375" customWidth="1" collapsed="1"/>
    <col min="12" max="12" width="24.5546875" bestFit="1" customWidth="1" collapsed="1"/>
    <col min="13" max="13" width="25.44140625" bestFit="1" customWidth="1" collapsed="1"/>
    <col min="14" max="14" width="23.6640625" bestFit="1" customWidth="1" collapsed="1"/>
    <col min="15" max="15" width="21.88671875" bestFit="1" customWidth="1" collapsed="1"/>
    <col min="16" max="16" width="6.44140625" bestFit="1" customWidth="1" collapsed="1"/>
    <col min="17" max="17" width="21.5546875" bestFit="1" customWidth="1" collapsed="1"/>
    <col min="18" max="18" width="25.44140625" bestFit="1" customWidth="1" collapsed="1"/>
    <col min="19" max="19" width="26.44140625" bestFit="1" customWidth="1" collapsed="1"/>
    <col min="20" max="20" width="20.5546875" bestFit="1" customWidth="1" collapsed="1"/>
    <col min="21" max="21" width="24.5546875" bestFit="1" customWidth="1" collapsed="1"/>
    <col min="22" max="22" width="25.44140625" bestFit="1" customWidth="1" collapsed="1"/>
    <col min="23" max="23" width="22.6640625" bestFit="1" customWidth="1" collapsed="1"/>
    <col min="24" max="24" width="6.44140625" bestFit="1" customWidth="1" collapsed="1"/>
    <col min="25" max="25" width="18.5546875" bestFit="1" customWidth="1" collapsed="1"/>
    <col min="26" max="26" width="19.44140625" bestFit="1" customWidth="1" collapsed="1"/>
    <col min="27" max="27" width="17.6640625" bestFit="1" customWidth="1" collapsed="1"/>
    <col min="28" max="28" width="15.88671875" customWidth="1" collapsed="1"/>
    <col min="29" max="29" width="6.44140625" bestFit="1" customWidth="1" collapsed="1"/>
    <col min="30" max="30" width="22.6640625" bestFit="1" customWidth="1" collapsed="1"/>
    <col min="31" max="31" width="20.6640625" bestFit="1" customWidth="1" collapsed="1"/>
    <col min="32" max="32" width="24.44140625" customWidth="1" collapsed="1"/>
    <col min="33" max="33" width="21.6640625" bestFit="1" customWidth="1" collapsed="1"/>
    <col min="34" max="34" width="18.5546875" customWidth="1" collapsed="1"/>
    <col min="35" max="35" width="3.109375" customWidth="1" collapsed="1"/>
    <col min="36" max="36" width="18" customWidth="1" collapsed="1"/>
  </cols>
  <sheetData>
    <row r="1" spans="1:33" ht="15.9" customHeight="1" x14ac:dyDescent="0.3">
      <c r="A1" s="632" t="s">
        <v>53</v>
      </c>
      <c r="B1" s="630" t="s">
        <v>16</v>
      </c>
      <c r="C1" s="628" t="s">
        <v>30</v>
      </c>
      <c r="D1" s="650" t="s">
        <v>47</v>
      </c>
      <c r="E1" s="636" t="s">
        <v>181</v>
      </c>
      <c r="F1" s="637"/>
      <c r="G1" s="638"/>
      <c r="H1" s="636" t="s">
        <v>180</v>
      </c>
      <c r="I1" s="637"/>
      <c r="J1" s="643" t="s">
        <v>182</v>
      </c>
      <c r="K1" s="191" t="s">
        <v>193</v>
      </c>
      <c r="L1" s="618" t="s">
        <v>72</v>
      </c>
      <c r="M1" s="619"/>
      <c r="N1" s="619"/>
      <c r="O1" s="619"/>
      <c r="P1" s="193"/>
      <c r="Q1" s="618" t="s">
        <v>195</v>
      </c>
      <c r="R1" s="619"/>
      <c r="S1" s="619"/>
      <c r="T1" s="619"/>
      <c r="U1" s="619"/>
      <c r="V1" s="619"/>
      <c r="W1" s="619"/>
      <c r="X1" s="619"/>
      <c r="Y1" s="618" t="s">
        <v>183</v>
      </c>
      <c r="Z1" s="619"/>
      <c r="AA1" s="619"/>
      <c r="AB1" s="619"/>
      <c r="AC1" s="621"/>
      <c r="AD1" s="641" t="s">
        <v>184</v>
      </c>
      <c r="AE1" s="642"/>
      <c r="AF1" s="616" t="s">
        <v>185</v>
      </c>
      <c r="AG1" s="620"/>
    </row>
    <row r="2" spans="1:33" ht="15" customHeight="1" x14ac:dyDescent="0.3">
      <c r="A2" s="647"/>
      <c r="B2" s="648"/>
      <c r="C2" s="649"/>
      <c r="D2" s="651"/>
      <c r="E2" s="645" t="s">
        <v>20</v>
      </c>
      <c r="F2" s="622" t="s">
        <v>18</v>
      </c>
      <c r="G2" s="652" t="s">
        <v>19</v>
      </c>
      <c r="H2" s="645" t="s">
        <v>58</v>
      </c>
      <c r="I2" s="622" t="s">
        <v>59</v>
      </c>
      <c r="J2" s="644"/>
      <c r="K2" s="152" t="s">
        <v>12</v>
      </c>
      <c r="L2" s="34" t="s">
        <v>76</v>
      </c>
      <c r="M2" s="34" t="s">
        <v>83</v>
      </c>
      <c r="N2" s="34" t="s">
        <v>71</v>
      </c>
      <c r="O2" s="34" t="s">
        <v>120</v>
      </c>
      <c r="P2" s="639" t="s">
        <v>2</v>
      </c>
      <c r="Q2" s="33" t="s">
        <v>194</v>
      </c>
      <c r="R2" s="34" t="s">
        <v>197</v>
      </c>
      <c r="S2" s="34" t="s">
        <v>198</v>
      </c>
      <c r="T2" s="33" t="s">
        <v>196</v>
      </c>
      <c r="U2" s="34" t="s">
        <v>199</v>
      </c>
      <c r="V2" s="34" t="s">
        <v>200</v>
      </c>
      <c r="W2" s="34" t="s">
        <v>201</v>
      </c>
      <c r="X2" s="639" t="s">
        <v>2</v>
      </c>
      <c r="Y2" s="33" t="s">
        <v>128</v>
      </c>
      <c r="Z2" s="34" t="s">
        <v>130</v>
      </c>
      <c r="AA2" s="34" t="s">
        <v>131</v>
      </c>
      <c r="AB2" s="34" t="s">
        <v>132</v>
      </c>
      <c r="AC2" s="639" t="s">
        <v>2</v>
      </c>
      <c r="AD2" s="34" t="s">
        <v>108</v>
      </c>
      <c r="AE2" s="34" t="s">
        <v>186</v>
      </c>
      <c r="AF2" s="33" t="s">
        <v>109</v>
      </c>
      <c r="AG2" s="35" t="s">
        <v>147</v>
      </c>
    </row>
    <row r="3" spans="1:33" ht="15" customHeight="1" x14ac:dyDescent="0.3">
      <c r="A3" s="633"/>
      <c r="B3" s="631"/>
      <c r="C3" s="629"/>
      <c r="D3" s="31" t="s">
        <v>57</v>
      </c>
      <c r="E3" s="646"/>
      <c r="F3" s="623"/>
      <c r="G3" s="653"/>
      <c r="H3" s="646"/>
      <c r="I3" s="623"/>
      <c r="J3" s="133" t="s">
        <v>68</v>
      </c>
      <c r="K3" s="36" t="s">
        <v>14</v>
      </c>
      <c r="L3" s="86"/>
      <c r="M3" s="86"/>
      <c r="N3" s="86"/>
      <c r="O3" s="86"/>
      <c r="P3" s="640"/>
      <c r="Q3" s="31"/>
      <c r="R3" s="122"/>
      <c r="S3" s="122"/>
      <c r="T3" s="31"/>
      <c r="U3" s="122"/>
      <c r="V3" s="123"/>
      <c r="W3" s="82"/>
      <c r="X3" s="640"/>
      <c r="Y3" s="31"/>
      <c r="Z3" s="123"/>
      <c r="AA3" s="123"/>
      <c r="AB3" s="123"/>
      <c r="AC3" s="640"/>
      <c r="AD3" s="82"/>
      <c r="AE3" s="82"/>
      <c r="AF3" s="31"/>
      <c r="AG3" s="3"/>
    </row>
    <row r="4" spans="1:33" x14ac:dyDescent="0.3">
      <c r="A4" s="358" t="s">
        <v>439</v>
      </c>
      <c r="B4" s="359" t="s">
        <v>268</v>
      </c>
      <c r="C4" s="134" t="s">
        <v>31</v>
      </c>
      <c r="D4" s="135">
        <v>0.73623188405797102</v>
      </c>
      <c r="E4" s="199">
        <v>0</v>
      </c>
      <c r="F4" s="195">
        <v>0</v>
      </c>
      <c r="G4" s="139">
        <f>1-E4-F4</f>
        <v>1</v>
      </c>
      <c r="H4" s="199">
        <v>0</v>
      </c>
      <c r="I4" s="139">
        <f>1-H4</f>
        <v>1</v>
      </c>
      <c r="J4" s="199">
        <v>0</v>
      </c>
      <c r="K4" s="188" t="str">
        <f>Dades!M25</f>
        <v>NO</v>
      </c>
      <c r="L4" s="195">
        <v>0</v>
      </c>
      <c r="M4" s="195">
        <v>0</v>
      </c>
      <c r="N4" s="195">
        <v>0</v>
      </c>
      <c r="O4" s="196">
        <v>0</v>
      </c>
      <c r="P4" s="194">
        <f>SUM(L4:O4)</f>
        <v>0</v>
      </c>
      <c r="Q4" s="188">
        <f>IF(Dades!O25="A emmagatzematge",1,0)</f>
        <v>1</v>
      </c>
      <c r="R4" s="199">
        <f t="shared" ref="R4:R17" si="0">IF(K4="SÍ",0.1*Q4,0)</f>
        <v>0</v>
      </c>
      <c r="S4" s="196">
        <f>IF(K4="SÍ",0.9*Q4,Q4)</f>
        <v>1</v>
      </c>
      <c r="T4" s="188">
        <f>IF(Dades!O25="Al camp o terreny agrícola",1,0)</f>
        <v>0</v>
      </c>
      <c r="U4" s="199">
        <f>IF(K4="Sí",0.1*T4,0)</f>
        <v>0</v>
      </c>
      <c r="V4" s="197">
        <f>IF(K4="SÍ",0.9*T4,T4)</f>
        <v>0</v>
      </c>
      <c r="W4" s="188">
        <f>IF(Dades!O25="A d'altres usos no agraris",1,0)</f>
        <v>0</v>
      </c>
      <c r="X4" s="192">
        <f>1-SUM(R4:S4)-SUM(U4:V4)-W4</f>
        <v>0</v>
      </c>
      <c r="Y4" s="200">
        <v>0</v>
      </c>
      <c r="Z4" s="197">
        <v>0</v>
      </c>
      <c r="AA4" s="197">
        <v>0</v>
      </c>
      <c r="AB4" s="197">
        <v>0</v>
      </c>
      <c r="AC4" s="7">
        <f>SUM(X4:AB4)</f>
        <v>0</v>
      </c>
      <c r="AD4" s="350">
        <f>IF(Dades!S25="Al camp o terreny agrícola",1,(1-AE4))</f>
        <v>1</v>
      </c>
      <c r="AE4" s="351">
        <f>IF(Dades!S25="A d'altres usos no agraris",Dades!$U$25,0)</f>
        <v>0</v>
      </c>
      <c r="AF4" s="138">
        <f>IF(Dades!V25="Al camp o terreny agrícola",1,(1-AG4))</f>
        <v>1</v>
      </c>
      <c r="AG4" s="136">
        <f>IF(Dades!V25="A d'altres usos no agraris",Dades!$X$25,0)</f>
        <v>0</v>
      </c>
    </row>
    <row r="5" spans="1:33" s="297" customFormat="1" hidden="1" x14ac:dyDescent="0.3">
      <c r="A5" s="360" t="s">
        <v>23</v>
      </c>
      <c r="B5" s="361" t="s">
        <v>9</v>
      </c>
      <c r="C5" s="362" t="s">
        <v>32</v>
      </c>
      <c r="D5" s="363">
        <v>0.72077185017026102</v>
      </c>
      <c r="E5" s="364">
        <v>0</v>
      </c>
      <c r="F5" s="365">
        <v>0</v>
      </c>
      <c r="G5" s="366">
        <f>1-E5-F5</f>
        <v>1</v>
      </c>
      <c r="H5" s="364">
        <v>0</v>
      </c>
      <c r="I5" s="366">
        <f t="shared" ref="I5:I17" si="1">1-H5</f>
        <v>1</v>
      </c>
      <c r="J5" s="364">
        <v>0</v>
      </c>
      <c r="K5" s="367" t="e">
        <f>Dades!#REF!</f>
        <v>#REF!</v>
      </c>
      <c r="L5" s="365">
        <v>0</v>
      </c>
      <c r="M5" s="365">
        <v>0</v>
      </c>
      <c r="N5" s="365">
        <v>0</v>
      </c>
      <c r="O5" s="368">
        <v>0</v>
      </c>
      <c r="P5" s="369">
        <f t="shared" ref="P5:P17" si="2">SUM(L5:O5)</f>
        <v>0</v>
      </c>
      <c r="Q5" s="367" t="e">
        <f>IF(Dades!#REF!="A emmagatzematge",1,0)</f>
        <v>#REF!</v>
      </c>
      <c r="R5" s="364" t="e">
        <f t="shared" si="0"/>
        <v>#REF!</v>
      </c>
      <c r="S5" s="368" t="e">
        <f>IF(K5="SÍ",0.9*Q5,Q5)</f>
        <v>#REF!</v>
      </c>
      <c r="T5" s="367" t="e">
        <f>IF(Dades!#REF!="Al camp o terreny agrícola",1,0)</f>
        <v>#REF!</v>
      </c>
      <c r="U5" s="364" t="e">
        <f t="shared" ref="U5:U17" si="3">IF(K5="Sí",0.1*T5,0)</f>
        <v>#REF!</v>
      </c>
      <c r="V5" s="365" t="e">
        <f>IF(K5="SÍ",0.9*T5,T5)</f>
        <v>#REF!</v>
      </c>
      <c r="W5" s="367" t="e">
        <f>IF(Dades!#REF!="A d'altres usos no agraris",1,0)</f>
        <v>#REF!</v>
      </c>
      <c r="X5" s="370" t="e">
        <f t="shared" ref="X5:X17" si="4">1-SUM(R5:S5)-SUM(U5:V5)-W5</f>
        <v>#REF!</v>
      </c>
      <c r="Y5" s="364">
        <v>0</v>
      </c>
      <c r="Z5" s="365">
        <v>0</v>
      </c>
      <c r="AA5" s="365">
        <v>0</v>
      </c>
      <c r="AB5" s="365">
        <v>0</v>
      </c>
      <c r="AC5" s="371" t="e">
        <f t="shared" ref="AC5:AC17" si="5">SUM(X5:AB5)</f>
        <v>#REF!</v>
      </c>
      <c r="AD5" s="372" t="e">
        <f>IF(Dades!#REF!="Al camp o terreny agrícola",1,(1-AE5))</f>
        <v>#REF!</v>
      </c>
      <c r="AE5" s="372" t="e">
        <f>IF(Dades!#REF!="A d'altres usos no agraris",Dades!$U$25,0)</f>
        <v>#REF!</v>
      </c>
      <c r="AF5" s="373" t="e">
        <f>IF(Dades!#REF!="Al camp o terreny agrícola",1,(1-AG5))</f>
        <v>#REF!</v>
      </c>
      <c r="AG5" s="374" t="e">
        <f>IF(Dades!#REF!="A d'altres usos no agraris",Dades!$X$25,0)</f>
        <v>#REF!</v>
      </c>
    </row>
    <row r="6" spans="1:33" s="297" customFormat="1" hidden="1" x14ac:dyDescent="0.3">
      <c r="A6" s="360" t="s">
        <v>23</v>
      </c>
      <c r="B6" s="361" t="s">
        <v>8</v>
      </c>
      <c r="C6" s="362" t="s">
        <v>32</v>
      </c>
      <c r="D6" s="363">
        <v>0.72108208955223885</v>
      </c>
      <c r="E6" s="364">
        <v>0</v>
      </c>
      <c r="F6" s="365">
        <v>0</v>
      </c>
      <c r="G6" s="366">
        <f t="shared" ref="G6:G17" si="6">1-E6-F6</f>
        <v>1</v>
      </c>
      <c r="H6" s="364">
        <v>0</v>
      </c>
      <c r="I6" s="366">
        <f t="shared" si="1"/>
        <v>1</v>
      </c>
      <c r="J6" s="364">
        <v>0</v>
      </c>
      <c r="K6" s="367" t="e">
        <f>Dades!#REF!</f>
        <v>#REF!</v>
      </c>
      <c r="L6" s="365">
        <v>0</v>
      </c>
      <c r="M6" s="365">
        <v>0</v>
      </c>
      <c r="N6" s="365">
        <v>0</v>
      </c>
      <c r="O6" s="368">
        <v>0</v>
      </c>
      <c r="P6" s="369">
        <f t="shared" si="2"/>
        <v>0</v>
      </c>
      <c r="Q6" s="367" t="e">
        <f>IF(Dades!#REF!="A emmagatzematge",1,0)</f>
        <v>#REF!</v>
      </c>
      <c r="R6" s="364" t="e">
        <f t="shared" si="0"/>
        <v>#REF!</v>
      </c>
      <c r="S6" s="368" t="e">
        <f t="shared" ref="S6:S17" si="7">IF(K6="SÍ",0.9*Q6,Q6)</f>
        <v>#REF!</v>
      </c>
      <c r="T6" s="367" t="e">
        <f>IF(Dades!#REF!="Al camp o terreny agrícola",1,0)</f>
        <v>#REF!</v>
      </c>
      <c r="U6" s="364" t="e">
        <f t="shared" si="3"/>
        <v>#REF!</v>
      </c>
      <c r="V6" s="365" t="e">
        <f t="shared" ref="V6:V17" si="8">IF(K6="SÍ",0.9*T6,T6)</f>
        <v>#REF!</v>
      </c>
      <c r="W6" s="367" t="e">
        <f>IF(Dades!#REF!="A d'altres usos no agraris",1,0)</f>
        <v>#REF!</v>
      </c>
      <c r="X6" s="370" t="e">
        <f t="shared" si="4"/>
        <v>#REF!</v>
      </c>
      <c r="Y6" s="364">
        <v>0</v>
      </c>
      <c r="Z6" s="365">
        <v>0</v>
      </c>
      <c r="AA6" s="365">
        <v>0</v>
      </c>
      <c r="AB6" s="365">
        <v>0</v>
      </c>
      <c r="AC6" s="371" t="e">
        <f t="shared" si="5"/>
        <v>#REF!</v>
      </c>
      <c r="AD6" s="372" t="e">
        <f>IF(Dades!#REF!="Al camp o terreny agrícola",1,(1-AE6))</f>
        <v>#REF!</v>
      </c>
      <c r="AE6" s="372" t="e">
        <f>IF(Dades!#REF!="A d'altres usos no agraris",Dades!$U$25,0)</f>
        <v>#REF!</v>
      </c>
      <c r="AF6" s="373" t="e">
        <f>IF(Dades!#REF!="Al camp o terreny agrícola",1,(1-AG6))</f>
        <v>#REF!</v>
      </c>
      <c r="AG6" s="374" t="e">
        <f>IF(Dades!#REF!="A d'altres usos no agraris",Dades!$X$25,0)</f>
        <v>#REF!</v>
      </c>
    </row>
    <row r="7" spans="1:33" x14ac:dyDescent="0.3">
      <c r="A7" s="358" t="s">
        <v>439</v>
      </c>
      <c r="B7" s="359" t="s">
        <v>218</v>
      </c>
      <c r="C7" s="15" t="s">
        <v>32</v>
      </c>
      <c r="D7" s="92">
        <v>0.72003424657534254</v>
      </c>
      <c r="E7" s="200">
        <v>0</v>
      </c>
      <c r="F7" s="197">
        <v>0</v>
      </c>
      <c r="G7" s="142">
        <f t="shared" si="6"/>
        <v>1</v>
      </c>
      <c r="H7" s="200">
        <v>0</v>
      </c>
      <c r="I7" s="142">
        <f t="shared" si="1"/>
        <v>1</v>
      </c>
      <c r="J7" s="200">
        <v>0</v>
      </c>
      <c r="K7" s="189" t="str">
        <f>Dades!M27</f>
        <v>NO</v>
      </c>
      <c r="L7" s="197">
        <v>0</v>
      </c>
      <c r="M7" s="197">
        <v>0</v>
      </c>
      <c r="N7" s="197">
        <v>0</v>
      </c>
      <c r="O7" s="198">
        <v>0</v>
      </c>
      <c r="P7" s="141">
        <f t="shared" si="2"/>
        <v>0</v>
      </c>
      <c r="Q7" s="189">
        <f>IF(Dades!O27="A emmagatzematge",1,0)</f>
        <v>1</v>
      </c>
      <c r="R7" s="200">
        <f t="shared" si="0"/>
        <v>0</v>
      </c>
      <c r="S7" s="198">
        <f t="shared" si="7"/>
        <v>1</v>
      </c>
      <c r="T7" s="189">
        <f>IF(Dades!O27="Al camp o terreny agrícola",1,0)</f>
        <v>0</v>
      </c>
      <c r="U7" s="200">
        <f t="shared" si="3"/>
        <v>0</v>
      </c>
      <c r="V7" s="197">
        <f t="shared" si="8"/>
        <v>0</v>
      </c>
      <c r="W7" s="189">
        <f>IF(Dades!O27="A d'altres usos no agraris",1,0)</f>
        <v>0</v>
      </c>
      <c r="X7" s="192">
        <f t="shared" si="4"/>
        <v>0</v>
      </c>
      <c r="Y7" s="200">
        <v>0</v>
      </c>
      <c r="Z7" s="197">
        <v>0</v>
      </c>
      <c r="AA7" s="197">
        <v>0</v>
      </c>
      <c r="AB7" s="197">
        <v>0</v>
      </c>
      <c r="AC7" s="7">
        <f t="shared" si="5"/>
        <v>0</v>
      </c>
      <c r="AD7" s="350">
        <f>IF(Dades!S27="Al camp o terreny agrícola",1,(1-AE7))</f>
        <v>1</v>
      </c>
      <c r="AE7" s="351">
        <f>IF(Dades!S27="A d'altres usos no agraris",Dades!$U$25,0)</f>
        <v>0</v>
      </c>
      <c r="AF7" s="137">
        <f>IF(Dades!V27="Al camp o terreny agrícola",1,(1-AG7))</f>
        <v>1</v>
      </c>
      <c r="AG7" s="136">
        <f>IF(Dades!V27="A d'altres usos no agraris",Dades!$X$25,0)</f>
        <v>0</v>
      </c>
    </row>
    <row r="8" spans="1:33" s="297" customFormat="1" hidden="1" x14ac:dyDescent="0.3">
      <c r="A8" s="360" t="s">
        <v>23</v>
      </c>
      <c r="B8" s="361" t="s">
        <v>7</v>
      </c>
      <c r="C8" s="362" t="s">
        <v>32</v>
      </c>
      <c r="D8" s="363">
        <v>0.70232172470978449</v>
      </c>
      <c r="E8" s="364">
        <v>0</v>
      </c>
      <c r="F8" s="365">
        <v>0</v>
      </c>
      <c r="G8" s="366">
        <f t="shared" si="6"/>
        <v>1</v>
      </c>
      <c r="H8" s="364">
        <v>0</v>
      </c>
      <c r="I8" s="366">
        <f t="shared" si="1"/>
        <v>1</v>
      </c>
      <c r="J8" s="364">
        <v>0</v>
      </c>
      <c r="K8" s="367" t="e">
        <f>Dades!#REF!</f>
        <v>#REF!</v>
      </c>
      <c r="L8" s="365">
        <v>0</v>
      </c>
      <c r="M8" s="365">
        <v>0</v>
      </c>
      <c r="N8" s="365">
        <v>0</v>
      </c>
      <c r="O8" s="368">
        <v>0</v>
      </c>
      <c r="P8" s="369">
        <f t="shared" si="2"/>
        <v>0</v>
      </c>
      <c r="Q8" s="367" t="e">
        <f>IF(Dades!#REF!="A emmagatzematge",1,0)</f>
        <v>#REF!</v>
      </c>
      <c r="R8" s="364" t="e">
        <f t="shared" si="0"/>
        <v>#REF!</v>
      </c>
      <c r="S8" s="368" t="e">
        <f t="shared" si="7"/>
        <v>#REF!</v>
      </c>
      <c r="T8" s="367" t="e">
        <f>IF(Dades!#REF!="Al camp o terreny agrícola",1,0)</f>
        <v>#REF!</v>
      </c>
      <c r="U8" s="364" t="e">
        <f t="shared" si="3"/>
        <v>#REF!</v>
      </c>
      <c r="V8" s="365" t="e">
        <f t="shared" si="8"/>
        <v>#REF!</v>
      </c>
      <c r="W8" s="367" t="e">
        <f>IF(Dades!#REF!="A d'altres usos no agraris",1,0)</f>
        <v>#REF!</v>
      </c>
      <c r="X8" s="370" t="e">
        <f>1-SUM(R8:S8)-SUM(U8:V8)-W8</f>
        <v>#REF!</v>
      </c>
      <c r="Y8" s="364">
        <v>0</v>
      </c>
      <c r="Z8" s="365">
        <v>0</v>
      </c>
      <c r="AA8" s="365">
        <v>0</v>
      </c>
      <c r="AB8" s="365">
        <v>0</v>
      </c>
      <c r="AC8" s="371" t="e">
        <f t="shared" si="5"/>
        <v>#REF!</v>
      </c>
      <c r="AD8" s="372" t="e">
        <f>IF(Dades!#REF!="Al camp o terreny agrícola",1,(1-AE8))</f>
        <v>#REF!</v>
      </c>
      <c r="AE8" s="375" t="e">
        <f>IF(Dades!#REF!="A d'altres usos no agraris",Dades!$U$25,0)</f>
        <v>#REF!</v>
      </c>
      <c r="AF8" s="373" t="e">
        <f>IF(Dades!#REF!="Al camp o terreny agrícola",1,(1-AG8))</f>
        <v>#REF!</v>
      </c>
      <c r="AG8" s="374" t="e">
        <f>IF(Dades!#REF!="A d'altres usos no agraris",Dades!$X$25,0)</f>
        <v>#REF!</v>
      </c>
    </row>
    <row r="9" spans="1:33" s="297" customFormat="1" hidden="1" x14ac:dyDescent="0.3">
      <c r="A9" s="376" t="s">
        <v>23</v>
      </c>
      <c r="B9" s="377" t="s">
        <v>6</v>
      </c>
      <c r="C9" s="378" t="s">
        <v>31</v>
      </c>
      <c r="D9" s="379">
        <v>0.76633785450061653</v>
      </c>
      <c r="E9" s="364">
        <v>0</v>
      </c>
      <c r="F9" s="365">
        <v>0</v>
      </c>
      <c r="G9" s="374">
        <f t="shared" si="6"/>
        <v>1</v>
      </c>
      <c r="H9" s="364">
        <v>0</v>
      </c>
      <c r="I9" s="374">
        <f t="shared" si="1"/>
        <v>1</v>
      </c>
      <c r="J9" s="364">
        <v>0</v>
      </c>
      <c r="K9" s="380" t="e">
        <f>Dades!#REF!</f>
        <v>#REF!</v>
      </c>
      <c r="L9" s="365">
        <v>0</v>
      </c>
      <c r="M9" s="365">
        <v>0</v>
      </c>
      <c r="N9" s="365">
        <v>0</v>
      </c>
      <c r="O9" s="368">
        <v>0</v>
      </c>
      <c r="P9" s="369">
        <f t="shared" si="2"/>
        <v>0</v>
      </c>
      <c r="Q9" s="380" t="e">
        <f>IF(Dades!#REF!="A emmagatzematge",1,0)</f>
        <v>#REF!</v>
      </c>
      <c r="R9" s="364" t="e">
        <f t="shared" si="0"/>
        <v>#REF!</v>
      </c>
      <c r="S9" s="368" t="e">
        <f t="shared" si="7"/>
        <v>#REF!</v>
      </c>
      <c r="T9" s="380" t="e">
        <f>IF(Dades!#REF!="Al camp o terreny agrícola",1,0)</f>
        <v>#REF!</v>
      </c>
      <c r="U9" s="364" t="e">
        <f t="shared" si="3"/>
        <v>#REF!</v>
      </c>
      <c r="V9" s="365" t="e">
        <f t="shared" si="8"/>
        <v>#REF!</v>
      </c>
      <c r="W9" s="380" t="e">
        <f>IF(Dades!#REF!="A d'altres usos no agraris",1,0)</f>
        <v>#REF!</v>
      </c>
      <c r="X9" s="370" t="e">
        <f t="shared" si="4"/>
        <v>#REF!</v>
      </c>
      <c r="Y9" s="364">
        <v>0</v>
      </c>
      <c r="Z9" s="365">
        <v>0</v>
      </c>
      <c r="AA9" s="365">
        <v>0</v>
      </c>
      <c r="AB9" s="365">
        <v>0</v>
      </c>
      <c r="AC9" s="371" t="e">
        <f t="shared" si="5"/>
        <v>#REF!</v>
      </c>
      <c r="AD9" s="372" t="e">
        <f>IF(Dades!#REF!="Al camp o terreny agrícola",1,(1-AE9))</f>
        <v>#REF!</v>
      </c>
      <c r="AE9" s="375" t="e">
        <f>IF(Dades!#REF!="A d'altres usos no agraris",Dades!$U$25,0)</f>
        <v>#REF!</v>
      </c>
      <c r="AF9" s="373" t="e">
        <f>IF(Dades!#REF!="Al camp o terreny agrícola",1,(1-AG9))</f>
        <v>#REF!</v>
      </c>
      <c r="AG9" s="374" t="e">
        <f>IF(Dades!#REF!="A d'altres usos no agraris",Dades!$X$25,0)</f>
        <v>#REF!</v>
      </c>
    </row>
    <row r="10" spans="1:33" x14ac:dyDescent="0.3">
      <c r="A10" s="358" t="s">
        <v>439</v>
      </c>
      <c r="B10" s="359" t="s">
        <v>217</v>
      </c>
      <c r="C10" s="15" t="s">
        <v>32</v>
      </c>
      <c r="D10" s="92">
        <v>0.74879999999999991</v>
      </c>
      <c r="E10" s="200">
        <v>0</v>
      </c>
      <c r="F10" s="197">
        <v>0</v>
      </c>
      <c r="G10" s="142">
        <f t="shared" si="6"/>
        <v>1</v>
      </c>
      <c r="H10" s="200">
        <v>0</v>
      </c>
      <c r="I10" s="142">
        <f t="shared" si="1"/>
        <v>1</v>
      </c>
      <c r="J10" s="200">
        <v>0</v>
      </c>
      <c r="K10" s="189" t="str">
        <f>Dades!M29</f>
        <v>NO</v>
      </c>
      <c r="L10" s="197">
        <v>0</v>
      </c>
      <c r="M10" s="197">
        <v>0</v>
      </c>
      <c r="N10" s="197">
        <v>0</v>
      </c>
      <c r="O10" s="198">
        <v>0</v>
      </c>
      <c r="P10" s="141">
        <f t="shared" si="2"/>
        <v>0</v>
      </c>
      <c r="Q10" s="189">
        <f>IF(Dades!O29="A emmagatzematge",1,0)</f>
        <v>1</v>
      </c>
      <c r="R10" s="200">
        <f t="shared" si="0"/>
        <v>0</v>
      </c>
      <c r="S10" s="198">
        <f t="shared" si="7"/>
        <v>1</v>
      </c>
      <c r="T10" s="189">
        <f>IF(Dades!O29="Al camp o terreny agrícola",1,0)</f>
        <v>0</v>
      </c>
      <c r="U10" s="200">
        <f t="shared" si="3"/>
        <v>0</v>
      </c>
      <c r="V10" s="197">
        <f t="shared" si="8"/>
        <v>0</v>
      </c>
      <c r="W10" s="189">
        <f>IF(Dades!O29="A d'altres usos no agraris",1,0)</f>
        <v>0</v>
      </c>
      <c r="X10" s="192">
        <f t="shared" si="4"/>
        <v>0</v>
      </c>
      <c r="Y10" s="200">
        <v>0</v>
      </c>
      <c r="Z10" s="197">
        <v>0</v>
      </c>
      <c r="AA10" s="197">
        <v>0</v>
      </c>
      <c r="AB10" s="197">
        <v>0</v>
      </c>
      <c r="AC10" s="7">
        <f t="shared" si="5"/>
        <v>0</v>
      </c>
      <c r="AD10" s="350">
        <f>IF(Dades!S29="Al camp o terreny agrícola",1,(1-AE10))</f>
        <v>1</v>
      </c>
      <c r="AE10" s="351">
        <f>IF(Dades!S29="A d'altres usos no agraris",Dades!$U$25,0)</f>
        <v>0</v>
      </c>
      <c r="AF10" s="137">
        <f>IF(Dades!V29="Al camp o terreny agrícola",1,(1-AG10))</f>
        <v>1</v>
      </c>
      <c r="AG10" s="136">
        <f>IF(Dades!V29="A d'altres usos no agraris",Dades!$X$25,0)</f>
        <v>0</v>
      </c>
    </row>
    <row r="11" spans="1:33" x14ac:dyDescent="0.3">
      <c r="A11" s="358" t="s">
        <v>439</v>
      </c>
      <c r="B11" s="359" t="s">
        <v>314</v>
      </c>
      <c r="C11" s="134" t="s">
        <v>31</v>
      </c>
      <c r="D11" s="140">
        <v>0.67803030303030298</v>
      </c>
      <c r="E11" s="200">
        <v>0</v>
      </c>
      <c r="F11" s="197">
        <v>0</v>
      </c>
      <c r="G11" s="136">
        <f t="shared" si="6"/>
        <v>1</v>
      </c>
      <c r="H11" s="200">
        <v>0</v>
      </c>
      <c r="I11" s="136">
        <f t="shared" si="1"/>
        <v>1</v>
      </c>
      <c r="J11" s="200">
        <v>0</v>
      </c>
      <c r="K11" s="190" t="str">
        <f>Dades!M31</f>
        <v>NO</v>
      </c>
      <c r="L11" s="197">
        <v>0</v>
      </c>
      <c r="M11" s="197">
        <v>0</v>
      </c>
      <c r="N11" s="197">
        <v>0</v>
      </c>
      <c r="O11" s="198">
        <v>0</v>
      </c>
      <c r="P11" s="141">
        <f t="shared" si="2"/>
        <v>0</v>
      </c>
      <c r="Q11" s="190">
        <f>IF(Dades!O31="A emmagatzematge",1,0)</f>
        <v>1</v>
      </c>
      <c r="R11" s="200">
        <f t="shared" si="0"/>
        <v>0</v>
      </c>
      <c r="S11" s="198">
        <f t="shared" si="7"/>
        <v>1</v>
      </c>
      <c r="T11" s="190">
        <f>IF(Dades!O31="Al camp o terreny agrícola",1,0)</f>
        <v>0</v>
      </c>
      <c r="U11" s="200">
        <f t="shared" si="3"/>
        <v>0</v>
      </c>
      <c r="V11" s="197">
        <f t="shared" si="8"/>
        <v>0</v>
      </c>
      <c r="W11" s="190">
        <f>IF(Dades!O31="A d'altres usos no agraris",1,0)</f>
        <v>0</v>
      </c>
      <c r="X11" s="192">
        <f t="shared" si="4"/>
        <v>0</v>
      </c>
      <c r="Y11" s="200">
        <v>0</v>
      </c>
      <c r="Z11" s="197">
        <v>0</v>
      </c>
      <c r="AA11" s="197">
        <v>0</v>
      </c>
      <c r="AB11" s="197">
        <v>0</v>
      </c>
      <c r="AC11" s="7">
        <f t="shared" si="5"/>
        <v>0</v>
      </c>
      <c r="AD11" s="350">
        <f>IF(Dades!S31="Al camp o terreny agrícola",1,(1-AE11))</f>
        <v>1</v>
      </c>
      <c r="AE11" s="351">
        <f>IF(Dades!S31="A d'altres usos no agraris",Dades!$U$25,0)</f>
        <v>0</v>
      </c>
      <c r="AF11" s="137">
        <f>IF(Dades!V31="Al camp o terreny agrícola",1,(1-AG11))</f>
        <v>1</v>
      </c>
      <c r="AG11" s="136">
        <f>IF(Dades!V31="A d'altres usos no agraris",Dades!$X$25,0)</f>
        <v>0</v>
      </c>
    </row>
    <row r="12" spans="1:33" s="297" customFormat="1" hidden="1" x14ac:dyDescent="0.3">
      <c r="A12" s="360" t="s">
        <v>23</v>
      </c>
      <c r="B12" s="361" t="s">
        <v>5</v>
      </c>
      <c r="C12" s="362" t="s">
        <v>32</v>
      </c>
      <c r="D12" s="363">
        <v>0.71571428571428564</v>
      </c>
      <c r="E12" s="364">
        <v>0</v>
      </c>
      <c r="F12" s="365">
        <v>0</v>
      </c>
      <c r="G12" s="366">
        <f t="shared" si="6"/>
        <v>1</v>
      </c>
      <c r="H12" s="364">
        <v>0</v>
      </c>
      <c r="I12" s="366">
        <f t="shared" si="1"/>
        <v>1</v>
      </c>
      <c r="J12" s="364">
        <v>0</v>
      </c>
      <c r="K12" s="367" t="e">
        <f>Dades!#REF!</f>
        <v>#REF!</v>
      </c>
      <c r="L12" s="365">
        <v>0</v>
      </c>
      <c r="M12" s="365">
        <v>0</v>
      </c>
      <c r="N12" s="365">
        <v>0</v>
      </c>
      <c r="O12" s="368">
        <v>0</v>
      </c>
      <c r="P12" s="369">
        <f t="shared" si="2"/>
        <v>0</v>
      </c>
      <c r="Q12" s="367" t="e">
        <f>IF(Dades!#REF!="A emmagatzematge",1,0)</f>
        <v>#REF!</v>
      </c>
      <c r="R12" s="364" t="e">
        <f t="shared" si="0"/>
        <v>#REF!</v>
      </c>
      <c r="S12" s="368" t="e">
        <f t="shared" si="7"/>
        <v>#REF!</v>
      </c>
      <c r="T12" s="367" t="e">
        <f>IF(Dades!#REF!="Al camp o terreny agrícola",1,0)</f>
        <v>#REF!</v>
      </c>
      <c r="U12" s="364" t="e">
        <f t="shared" si="3"/>
        <v>#REF!</v>
      </c>
      <c r="V12" s="365" t="e">
        <f t="shared" si="8"/>
        <v>#REF!</v>
      </c>
      <c r="W12" s="367" t="e">
        <f>IF(Dades!#REF!="A d'altres usos no agraris",1,0)</f>
        <v>#REF!</v>
      </c>
      <c r="X12" s="370" t="e">
        <f t="shared" si="4"/>
        <v>#REF!</v>
      </c>
      <c r="Y12" s="364">
        <v>0</v>
      </c>
      <c r="Z12" s="365">
        <v>0</v>
      </c>
      <c r="AA12" s="365">
        <v>0</v>
      </c>
      <c r="AB12" s="365">
        <v>0</v>
      </c>
      <c r="AC12" s="371" t="e">
        <f t="shared" si="5"/>
        <v>#REF!</v>
      </c>
      <c r="AD12" s="372" t="e">
        <f>IF(Dades!#REF!="Al camp o terreny agrícola",1,(1-AE12))</f>
        <v>#REF!</v>
      </c>
      <c r="AE12" s="375" t="e">
        <f>IF(Dades!#REF!="A d'altres usos no agraris",Dades!$U$25,0)</f>
        <v>#REF!</v>
      </c>
      <c r="AF12" s="373" t="e">
        <f>IF(Dades!#REF!="Al camp o terreny agrícola",1,(1-AG12))</f>
        <v>#REF!</v>
      </c>
      <c r="AG12" s="374" t="e">
        <f>IF(Dades!#REF!="A d'altres usos no agraris",Dades!$X$25,0)</f>
        <v>#REF!</v>
      </c>
    </row>
    <row r="13" spans="1:33" x14ac:dyDescent="0.3">
      <c r="A13" s="358" t="s">
        <v>439</v>
      </c>
      <c r="B13" s="359" t="s">
        <v>267</v>
      </c>
      <c r="C13" s="15" t="s">
        <v>32</v>
      </c>
      <c r="D13" s="92">
        <v>0.73439490445859867</v>
      </c>
      <c r="E13" s="200">
        <v>0</v>
      </c>
      <c r="F13" s="197">
        <v>0</v>
      </c>
      <c r="G13" s="142">
        <f t="shared" si="6"/>
        <v>1</v>
      </c>
      <c r="H13" s="200">
        <v>0</v>
      </c>
      <c r="I13" s="142">
        <f t="shared" si="1"/>
        <v>1</v>
      </c>
      <c r="J13" s="200">
        <v>0</v>
      </c>
      <c r="K13" s="189" t="str">
        <f>Dades!M33</f>
        <v>NO</v>
      </c>
      <c r="L13" s="197">
        <v>0</v>
      </c>
      <c r="M13" s="197">
        <v>0</v>
      </c>
      <c r="N13" s="197">
        <v>0</v>
      </c>
      <c r="O13" s="198">
        <v>0</v>
      </c>
      <c r="P13" s="141">
        <f t="shared" si="2"/>
        <v>0</v>
      </c>
      <c r="Q13" s="189">
        <f>IF(Dades!O33="A emmagatzematge",1,0)</f>
        <v>1</v>
      </c>
      <c r="R13" s="200">
        <f t="shared" si="0"/>
        <v>0</v>
      </c>
      <c r="S13" s="198">
        <f t="shared" si="7"/>
        <v>1</v>
      </c>
      <c r="T13" s="189">
        <f>IF(Dades!O33="Al camp o terreny agrícola",1,0)</f>
        <v>0</v>
      </c>
      <c r="U13" s="200">
        <f t="shared" si="3"/>
        <v>0</v>
      </c>
      <c r="V13" s="197">
        <f t="shared" si="8"/>
        <v>0</v>
      </c>
      <c r="W13" s="189">
        <f>IF(Dades!O33="A d'altres usos no agraris",1,0)</f>
        <v>0</v>
      </c>
      <c r="X13" s="192">
        <f t="shared" si="4"/>
        <v>0</v>
      </c>
      <c r="Y13" s="200">
        <v>0</v>
      </c>
      <c r="Z13" s="197">
        <v>0</v>
      </c>
      <c r="AA13" s="197">
        <v>0</v>
      </c>
      <c r="AB13" s="197">
        <v>0</v>
      </c>
      <c r="AC13" s="7">
        <f t="shared" si="5"/>
        <v>0</v>
      </c>
      <c r="AD13" s="350">
        <f>IF(Dades!S33="Al camp o terreny agrícola",1,(1-AE13))</f>
        <v>1</v>
      </c>
      <c r="AE13" s="351">
        <f>IF(Dades!S33="A d'altres usos no agraris",Dades!$U$25,0)</f>
        <v>0</v>
      </c>
      <c r="AF13" s="137">
        <f>IF(Dades!V33="Al camp o terreny agrícola",1,(1-AG13))</f>
        <v>1</v>
      </c>
      <c r="AG13" s="136">
        <f>IF(Dades!V33="A d'altres usos no agraris",Dades!$X$25,0)</f>
        <v>0</v>
      </c>
    </row>
    <row r="14" spans="1:33" s="297" customFormat="1" hidden="1" x14ac:dyDescent="0.3">
      <c r="A14" s="360" t="s">
        <v>23</v>
      </c>
      <c r="B14" s="361" t="s">
        <v>11</v>
      </c>
      <c r="C14" s="362" t="s">
        <v>32</v>
      </c>
      <c r="D14" s="363">
        <v>0.7235531628532974</v>
      </c>
      <c r="E14" s="364">
        <v>0</v>
      </c>
      <c r="F14" s="365">
        <v>0</v>
      </c>
      <c r="G14" s="366">
        <f t="shared" si="6"/>
        <v>1</v>
      </c>
      <c r="H14" s="364">
        <v>0</v>
      </c>
      <c r="I14" s="366">
        <f t="shared" si="1"/>
        <v>1</v>
      </c>
      <c r="J14" s="364">
        <v>0</v>
      </c>
      <c r="K14" s="367" t="e">
        <f>Dades!#REF!</f>
        <v>#REF!</v>
      </c>
      <c r="L14" s="365">
        <v>0</v>
      </c>
      <c r="M14" s="365">
        <v>0</v>
      </c>
      <c r="N14" s="365">
        <v>0</v>
      </c>
      <c r="O14" s="368">
        <v>0</v>
      </c>
      <c r="P14" s="369">
        <f t="shared" si="2"/>
        <v>0</v>
      </c>
      <c r="Q14" s="367" t="e">
        <f>IF(Dades!#REF!="A emmagatzematge",1,0)</f>
        <v>#REF!</v>
      </c>
      <c r="R14" s="364" t="e">
        <f t="shared" si="0"/>
        <v>#REF!</v>
      </c>
      <c r="S14" s="368" t="e">
        <f t="shared" si="7"/>
        <v>#REF!</v>
      </c>
      <c r="T14" s="367" t="e">
        <f>IF(Dades!#REF!="Al camp o terreny agrícola",1,0)</f>
        <v>#REF!</v>
      </c>
      <c r="U14" s="364" t="e">
        <f t="shared" si="3"/>
        <v>#REF!</v>
      </c>
      <c r="V14" s="365" t="e">
        <f t="shared" si="8"/>
        <v>#REF!</v>
      </c>
      <c r="W14" s="367" t="e">
        <f>IF(Dades!#REF!="A d'altres usos no agraris",1,0)</f>
        <v>#REF!</v>
      </c>
      <c r="X14" s="370" t="e">
        <f t="shared" si="4"/>
        <v>#REF!</v>
      </c>
      <c r="Y14" s="364">
        <v>0</v>
      </c>
      <c r="Z14" s="365">
        <v>0</v>
      </c>
      <c r="AA14" s="365">
        <v>0</v>
      </c>
      <c r="AB14" s="365">
        <v>0</v>
      </c>
      <c r="AC14" s="371" t="e">
        <f t="shared" si="5"/>
        <v>#REF!</v>
      </c>
      <c r="AD14" s="381" t="e">
        <f>IF(Dades!#REF!="Al camp o terreny agrícola",1,0)</f>
        <v>#REF!</v>
      </c>
      <c r="AE14" s="366" t="e">
        <f>IF(Dades!#REF!="A d'altres usos no agraris",1,0)</f>
        <v>#REF!</v>
      </c>
      <c r="AF14" s="381" t="e">
        <f>IF(Dades!#REF!="Al camp o terreny agrícola",1,0)</f>
        <v>#REF!</v>
      </c>
      <c r="AG14" s="366" t="e">
        <f>IF(Dades!#REF!="A d'altres usos no agraris",1,0)</f>
        <v>#REF!</v>
      </c>
    </row>
    <row r="15" spans="1:33" s="297" customFormat="1" hidden="1" x14ac:dyDescent="0.3">
      <c r="A15" s="360" t="s">
        <v>23</v>
      </c>
      <c r="B15" s="361" t="s">
        <v>4</v>
      </c>
      <c r="C15" s="362" t="s">
        <v>32</v>
      </c>
      <c r="D15" s="363">
        <v>0.73065401897154258</v>
      </c>
      <c r="E15" s="364">
        <v>0</v>
      </c>
      <c r="F15" s="365">
        <v>0</v>
      </c>
      <c r="G15" s="366">
        <f t="shared" si="6"/>
        <v>1</v>
      </c>
      <c r="H15" s="364">
        <v>0</v>
      </c>
      <c r="I15" s="366">
        <f t="shared" si="1"/>
        <v>1</v>
      </c>
      <c r="J15" s="364">
        <v>0</v>
      </c>
      <c r="K15" s="367" t="e">
        <f>Dades!#REF!</f>
        <v>#REF!</v>
      </c>
      <c r="L15" s="365">
        <v>0</v>
      </c>
      <c r="M15" s="365">
        <v>0</v>
      </c>
      <c r="N15" s="365">
        <v>0</v>
      </c>
      <c r="O15" s="368">
        <v>0</v>
      </c>
      <c r="P15" s="369">
        <f t="shared" si="2"/>
        <v>0</v>
      </c>
      <c r="Q15" s="367" t="e">
        <f>IF(Dades!#REF!="A emmagatzematge",1,0)</f>
        <v>#REF!</v>
      </c>
      <c r="R15" s="364" t="e">
        <f t="shared" si="0"/>
        <v>#REF!</v>
      </c>
      <c r="S15" s="368" t="e">
        <f t="shared" si="7"/>
        <v>#REF!</v>
      </c>
      <c r="T15" s="367" t="e">
        <f>IF(Dades!#REF!="Al camp o terreny agrícola",1,0)</f>
        <v>#REF!</v>
      </c>
      <c r="U15" s="364" t="e">
        <f t="shared" si="3"/>
        <v>#REF!</v>
      </c>
      <c r="V15" s="365" t="e">
        <f t="shared" si="8"/>
        <v>#REF!</v>
      </c>
      <c r="W15" s="367" t="e">
        <f>IF(Dades!#REF!="A d'altres usos no agraris",1,0)</f>
        <v>#REF!</v>
      </c>
      <c r="X15" s="370" t="e">
        <f t="shared" si="4"/>
        <v>#REF!</v>
      </c>
      <c r="Y15" s="364">
        <v>0</v>
      </c>
      <c r="Z15" s="365">
        <v>0</v>
      </c>
      <c r="AA15" s="365">
        <v>0</v>
      </c>
      <c r="AB15" s="365">
        <v>0</v>
      </c>
      <c r="AC15" s="371" t="e">
        <f t="shared" si="5"/>
        <v>#REF!</v>
      </c>
      <c r="AD15" s="381" t="e">
        <f>IF(Dades!#REF!="Al camp o terreny agrícola",1,0)</f>
        <v>#REF!</v>
      </c>
      <c r="AE15" s="366" t="e">
        <f>IF(Dades!#REF!="A d'altres usos no agraris",1,0)</f>
        <v>#REF!</v>
      </c>
      <c r="AF15" s="381" t="e">
        <f>IF(Dades!#REF!="Al camp o terreny agrícola",1,0)</f>
        <v>#REF!</v>
      </c>
      <c r="AG15" s="366" t="e">
        <f>IF(Dades!#REF!="A d'altres usos no agraris",1,0)</f>
        <v>#REF!</v>
      </c>
    </row>
    <row r="16" spans="1:33" s="297" customFormat="1" hidden="1" x14ac:dyDescent="0.3">
      <c r="A16" s="360" t="s">
        <v>23</v>
      </c>
      <c r="B16" s="361" t="s">
        <v>3</v>
      </c>
      <c r="C16" s="362" t="s">
        <v>32</v>
      </c>
      <c r="D16" s="363">
        <v>0.823489932885906</v>
      </c>
      <c r="E16" s="364">
        <v>0</v>
      </c>
      <c r="F16" s="365">
        <v>0</v>
      </c>
      <c r="G16" s="366">
        <f t="shared" si="6"/>
        <v>1</v>
      </c>
      <c r="H16" s="364">
        <v>0</v>
      </c>
      <c r="I16" s="366">
        <f t="shared" si="1"/>
        <v>1</v>
      </c>
      <c r="J16" s="364">
        <v>0</v>
      </c>
      <c r="K16" s="367" t="e">
        <f>Dades!#REF!</f>
        <v>#REF!</v>
      </c>
      <c r="L16" s="365">
        <v>0</v>
      </c>
      <c r="M16" s="365">
        <v>0</v>
      </c>
      <c r="N16" s="365">
        <v>0</v>
      </c>
      <c r="O16" s="368">
        <v>0</v>
      </c>
      <c r="P16" s="369">
        <f t="shared" si="2"/>
        <v>0</v>
      </c>
      <c r="Q16" s="367" t="e">
        <f>IF(Dades!#REF!="A emmagatzematge",1,0)</f>
        <v>#REF!</v>
      </c>
      <c r="R16" s="364" t="e">
        <f t="shared" si="0"/>
        <v>#REF!</v>
      </c>
      <c r="S16" s="368" t="e">
        <f t="shared" si="7"/>
        <v>#REF!</v>
      </c>
      <c r="T16" s="367" t="e">
        <f>IF(Dades!#REF!="Al camp o terreny agrícola",1,0)</f>
        <v>#REF!</v>
      </c>
      <c r="U16" s="364" t="e">
        <f t="shared" si="3"/>
        <v>#REF!</v>
      </c>
      <c r="V16" s="365" t="e">
        <f t="shared" si="8"/>
        <v>#REF!</v>
      </c>
      <c r="W16" s="367" t="e">
        <f>IF(Dades!#REF!="A d'altres usos no agraris",1,0)</f>
        <v>#REF!</v>
      </c>
      <c r="X16" s="370" t="e">
        <f t="shared" si="4"/>
        <v>#REF!</v>
      </c>
      <c r="Y16" s="364">
        <v>0</v>
      </c>
      <c r="Z16" s="365">
        <v>0</v>
      </c>
      <c r="AA16" s="365">
        <v>0</v>
      </c>
      <c r="AB16" s="365">
        <v>0</v>
      </c>
      <c r="AC16" s="371" t="e">
        <f t="shared" si="5"/>
        <v>#REF!</v>
      </c>
      <c r="AD16" s="381" t="e">
        <f>IF(Dades!#REF!="Al camp o terreny agrícola",1,0)</f>
        <v>#REF!</v>
      </c>
      <c r="AE16" s="366" t="e">
        <f>IF(Dades!#REF!="A d'altres usos no agraris",1,0)</f>
        <v>#REF!</v>
      </c>
      <c r="AF16" s="381" t="e">
        <f>IF(Dades!#REF!="Al camp o terreny agrícola",1,0)</f>
        <v>#REF!</v>
      </c>
      <c r="AG16" s="366" t="e">
        <f>IF(Dades!#REF!="A d'altres usos no agraris",1,0)</f>
        <v>#REF!</v>
      </c>
    </row>
    <row r="17" spans="1:36" s="297" customFormat="1" hidden="1" x14ac:dyDescent="0.3">
      <c r="A17" s="382" t="s">
        <v>23</v>
      </c>
      <c r="B17" s="383" t="s">
        <v>10</v>
      </c>
      <c r="C17" s="384" t="s">
        <v>32</v>
      </c>
      <c r="D17" s="385">
        <v>0.76486305945223776</v>
      </c>
      <c r="E17" s="386">
        <v>0</v>
      </c>
      <c r="F17" s="387">
        <v>0</v>
      </c>
      <c r="G17" s="388">
        <f t="shared" si="6"/>
        <v>1</v>
      </c>
      <c r="H17" s="386">
        <v>0</v>
      </c>
      <c r="I17" s="388">
        <f t="shared" si="1"/>
        <v>1</v>
      </c>
      <c r="J17" s="386">
        <v>0</v>
      </c>
      <c r="K17" s="389" t="e">
        <f>Dades!#REF!</f>
        <v>#REF!</v>
      </c>
      <c r="L17" s="386">
        <v>0</v>
      </c>
      <c r="M17" s="387">
        <v>0</v>
      </c>
      <c r="N17" s="387">
        <v>0</v>
      </c>
      <c r="O17" s="390">
        <v>0</v>
      </c>
      <c r="P17" s="391">
        <f t="shared" si="2"/>
        <v>0</v>
      </c>
      <c r="Q17" s="389" t="e">
        <f>IF(Dades!#REF!="A emmagatzematge",1,0)</f>
        <v>#REF!</v>
      </c>
      <c r="R17" s="386" t="e">
        <f t="shared" si="0"/>
        <v>#REF!</v>
      </c>
      <c r="S17" s="390" t="e">
        <f t="shared" si="7"/>
        <v>#REF!</v>
      </c>
      <c r="T17" s="389" t="e">
        <f>IF(Dades!#REF!="Al camp o terreny agrícola",1,0)</f>
        <v>#REF!</v>
      </c>
      <c r="U17" s="386" t="e">
        <f t="shared" si="3"/>
        <v>#REF!</v>
      </c>
      <c r="V17" s="387" t="e">
        <f t="shared" si="8"/>
        <v>#REF!</v>
      </c>
      <c r="W17" s="389" t="e">
        <f>IF(Dades!#REF!="A d'altres usos no agraris",1,0)</f>
        <v>#REF!</v>
      </c>
      <c r="X17" s="392" t="e">
        <f t="shared" si="4"/>
        <v>#REF!</v>
      </c>
      <c r="Y17" s="386">
        <v>0</v>
      </c>
      <c r="Z17" s="387">
        <v>0</v>
      </c>
      <c r="AA17" s="387">
        <v>0</v>
      </c>
      <c r="AB17" s="387">
        <v>0</v>
      </c>
      <c r="AC17" s="393" t="e">
        <f t="shared" si="5"/>
        <v>#REF!</v>
      </c>
      <c r="AD17" s="394" t="e">
        <f>IF(Dades!#REF!="Al camp o terreny agrícola",1,0)</f>
        <v>#REF!</v>
      </c>
      <c r="AE17" s="388" t="e">
        <f>IF(Dades!#REF!="A d'altres usos no agraris",1,0)</f>
        <v>#REF!</v>
      </c>
      <c r="AF17" s="394" t="e">
        <f>IF(Dades!#REF!="Al camp o terreny agrícola",1,0)</f>
        <v>#REF!</v>
      </c>
      <c r="AG17" s="388" t="e">
        <f>IF(Dades!#REF!="A d'altres usos no agraris",1,0)</f>
        <v>#REF!</v>
      </c>
    </row>
    <row r="18" spans="1:36" x14ac:dyDescent="0.3">
      <c r="E18" s="22"/>
      <c r="F18" s="22"/>
      <c r="G18" s="22"/>
      <c r="H18" s="22"/>
      <c r="I18" s="22"/>
      <c r="J18" s="22"/>
      <c r="Q18" s="337" t="s">
        <v>316</v>
      </c>
    </row>
    <row r="21" spans="1:36" x14ac:dyDescent="0.3">
      <c r="AB21" s="207"/>
      <c r="AC21" s="207"/>
      <c r="AD21" s="207"/>
      <c r="AE21" s="207"/>
      <c r="AF21" s="207"/>
      <c r="AG21" s="207"/>
      <c r="AH21" s="207"/>
      <c r="AI21" s="207"/>
      <c r="AJ21" s="207"/>
    </row>
  </sheetData>
  <sheetProtection sheet="1" objects="1" scenarios="1" formatCells="0" formatColumns="0"/>
  <customSheetViews>
    <customSheetView guid="{D886BD10-986C-4491-A4B8-2CD64A5C3006}">
      <pane xSplit="2" topLeftCell="C1" activePane="topRight" state="frozen"/>
      <selection pane="topRight" activeCell="D4" sqref="D4"/>
      <pageMargins left="0.7" right="0.7" top="0.75" bottom="0.75" header="0.3" footer="0.3"/>
      <pageSetup paperSize="9" orientation="portrait" r:id="rId1"/>
    </customSheetView>
  </customSheetViews>
  <mergeCells count="20">
    <mergeCell ref="A1:A3"/>
    <mergeCell ref="B1:B3"/>
    <mergeCell ref="C1:C3"/>
    <mergeCell ref="D1:D2"/>
    <mergeCell ref="E1:G1"/>
    <mergeCell ref="E2:E3"/>
    <mergeCell ref="F2:F3"/>
    <mergeCell ref="G2:G3"/>
    <mergeCell ref="J1:J2"/>
    <mergeCell ref="P2:P3"/>
    <mergeCell ref="H1:I1"/>
    <mergeCell ref="H2:H3"/>
    <mergeCell ref="I2:I3"/>
    <mergeCell ref="L1:O1"/>
    <mergeCell ref="Y1:AC1"/>
    <mergeCell ref="X2:X3"/>
    <mergeCell ref="AD1:AE1"/>
    <mergeCell ref="Q1:X1"/>
    <mergeCell ref="AF1:AG1"/>
    <mergeCell ref="AC2:AC3"/>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ll3"/>
  <dimension ref="A1:H40"/>
  <sheetViews>
    <sheetView zoomScale="90" zoomScaleNormal="90" workbookViewId="0">
      <pane xSplit="3" ySplit="1" topLeftCell="D2" activePane="bottomRight" state="frozen"/>
      <selection pane="topRight" activeCell="D1" sqref="D1"/>
      <selection pane="bottomLeft" activeCell="A2" sqref="A2"/>
      <selection pane="bottomRight" activeCell="C14" sqref="C14"/>
    </sheetView>
  </sheetViews>
  <sheetFormatPr defaultRowHeight="14.4" x14ac:dyDescent="0.3"/>
  <cols>
    <col min="1" max="1" width="12.77734375" style="530" customWidth="1"/>
    <col min="2" max="2" width="26" style="530" customWidth="1"/>
    <col min="3" max="3" width="10.44140625" customWidth="1"/>
    <col min="4" max="4" width="57.77734375" style="530" customWidth="1"/>
    <col min="5" max="5" width="11.6640625" bestFit="1" customWidth="1"/>
    <col min="6" max="6" width="29.77734375" style="483" customWidth="1"/>
  </cols>
  <sheetData>
    <row r="1" spans="1:8" x14ac:dyDescent="0.3">
      <c r="A1" s="466" t="s">
        <v>400</v>
      </c>
      <c r="B1" s="466" t="s">
        <v>401</v>
      </c>
      <c r="C1" s="466" t="s">
        <v>402</v>
      </c>
      <c r="D1" s="466" t="s">
        <v>403</v>
      </c>
      <c r="E1" s="467" t="s">
        <v>232</v>
      </c>
      <c r="F1" s="467" t="s">
        <v>404</v>
      </c>
      <c r="G1" s="654" t="s">
        <v>405</v>
      </c>
      <c r="H1" s="654"/>
    </row>
    <row r="2" spans="1:8" ht="20.399999999999999" x14ac:dyDescent="0.3">
      <c r="A2" s="468" t="s">
        <v>406</v>
      </c>
      <c r="B2" s="468" t="s">
        <v>407</v>
      </c>
      <c r="C2" s="469" t="s">
        <v>342</v>
      </c>
      <c r="D2" s="470" t="s">
        <v>219</v>
      </c>
      <c r="E2" s="471">
        <v>0</v>
      </c>
      <c r="F2" s="472" t="s">
        <v>408</v>
      </c>
      <c r="G2" s="473">
        <v>30</v>
      </c>
      <c r="H2" s="473"/>
    </row>
    <row r="3" spans="1:8" x14ac:dyDescent="0.3">
      <c r="A3" s="468" t="s">
        <v>406</v>
      </c>
      <c r="B3" s="468" t="s">
        <v>407</v>
      </c>
      <c r="C3" s="469" t="s">
        <v>343</v>
      </c>
      <c r="D3" s="470" t="s">
        <v>220</v>
      </c>
      <c r="E3" s="471">
        <v>0.2</v>
      </c>
      <c r="F3" s="472" t="s">
        <v>409</v>
      </c>
      <c r="G3" s="473">
        <v>30</v>
      </c>
      <c r="H3" s="473"/>
    </row>
    <row r="4" spans="1:8" x14ac:dyDescent="0.3">
      <c r="A4" s="468" t="s">
        <v>406</v>
      </c>
      <c r="B4" s="468" t="s">
        <v>407</v>
      </c>
      <c r="C4" s="469" t="s">
        <v>344</v>
      </c>
      <c r="D4" s="470" t="s">
        <v>221</v>
      </c>
      <c r="E4" s="471">
        <v>0.65</v>
      </c>
      <c r="F4" s="472" t="s">
        <v>409</v>
      </c>
      <c r="G4" s="473">
        <v>30</v>
      </c>
      <c r="H4" s="473"/>
    </row>
    <row r="5" spans="1:8" x14ac:dyDescent="0.3">
      <c r="A5" s="468" t="s">
        <v>406</v>
      </c>
      <c r="B5" s="468" t="s">
        <v>407</v>
      </c>
      <c r="C5" s="469" t="s">
        <v>379</v>
      </c>
      <c r="D5" s="470" t="s">
        <v>222</v>
      </c>
      <c r="E5" s="471">
        <v>0.6</v>
      </c>
      <c r="F5" s="472" t="s">
        <v>409</v>
      </c>
      <c r="G5" s="473">
        <v>30</v>
      </c>
      <c r="H5" s="473"/>
    </row>
    <row r="6" spans="1:8" x14ac:dyDescent="0.3">
      <c r="A6" s="468" t="s">
        <v>406</v>
      </c>
      <c r="B6" s="468" t="s">
        <v>407</v>
      </c>
      <c r="C6" s="469" t="s">
        <v>380</v>
      </c>
      <c r="D6" s="470" t="s">
        <v>381</v>
      </c>
      <c r="E6" s="471">
        <v>0.5</v>
      </c>
      <c r="F6" s="472" t="s">
        <v>409</v>
      </c>
      <c r="G6" s="473">
        <v>30</v>
      </c>
      <c r="H6" s="473"/>
    </row>
    <row r="7" spans="1:8" x14ac:dyDescent="0.3">
      <c r="A7" s="474" t="s">
        <v>406</v>
      </c>
      <c r="B7" s="474" t="s">
        <v>407</v>
      </c>
      <c r="C7" s="475" t="s">
        <v>382</v>
      </c>
      <c r="D7" s="476" t="s">
        <v>223</v>
      </c>
      <c r="E7" s="477">
        <v>0.6</v>
      </c>
      <c r="F7" s="472" t="s">
        <v>409</v>
      </c>
      <c r="G7" s="473">
        <v>30</v>
      </c>
      <c r="H7" s="473"/>
    </row>
    <row r="8" spans="1:8" x14ac:dyDescent="0.3">
      <c r="A8" s="474" t="s">
        <v>406</v>
      </c>
      <c r="B8" s="474" t="s">
        <v>407</v>
      </c>
      <c r="C8" s="475" t="s">
        <v>383</v>
      </c>
      <c r="D8" s="476" t="s">
        <v>384</v>
      </c>
      <c r="E8" s="477">
        <v>0.45</v>
      </c>
      <c r="F8" s="472" t="s">
        <v>409</v>
      </c>
      <c r="G8" s="473">
        <v>30</v>
      </c>
      <c r="H8" s="473"/>
    </row>
    <row r="9" spans="1:8" x14ac:dyDescent="0.3">
      <c r="A9" s="468" t="s">
        <v>406</v>
      </c>
      <c r="B9" s="468" t="s">
        <v>407</v>
      </c>
      <c r="C9" s="469" t="s">
        <v>345</v>
      </c>
      <c r="D9" s="470" t="s">
        <v>224</v>
      </c>
      <c r="E9" s="471">
        <v>0.65</v>
      </c>
      <c r="F9" s="478" t="s">
        <v>410</v>
      </c>
      <c r="G9" s="473">
        <v>30</v>
      </c>
      <c r="H9" s="473"/>
    </row>
    <row r="10" spans="1:8" x14ac:dyDescent="0.3">
      <c r="A10" s="468" t="s">
        <v>406</v>
      </c>
      <c r="B10" s="468" t="s">
        <v>407</v>
      </c>
      <c r="C10" s="469" t="s">
        <v>346</v>
      </c>
      <c r="D10" s="470" t="s">
        <v>225</v>
      </c>
      <c r="E10" s="477">
        <v>0.45</v>
      </c>
      <c r="F10" s="478" t="s">
        <v>410</v>
      </c>
      <c r="G10" s="473">
        <v>30</v>
      </c>
      <c r="H10" s="473"/>
    </row>
    <row r="11" spans="1:8" x14ac:dyDescent="0.3">
      <c r="A11" s="468" t="s">
        <v>406</v>
      </c>
      <c r="B11" s="468" t="s">
        <v>407</v>
      </c>
      <c r="C11" s="469" t="s">
        <v>347</v>
      </c>
      <c r="D11" s="470" t="s">
        <v>226</v>
      </c>
      <c r="E11" s="479">
        <v>0.625</v>
      </c>
      <c r="F11" s="478" t="s">
        <v>410</v>
      </c>
      <c r="G11" s="473">
        <v>30</v>
      </c>
      <c r="H11" s="473"/>
    </row>
    <row r="12" spans="1:8" x14ac:dyDescent="0.3">
      <c r="A12" s="474" t="s">
        <v>406</v>
      </c>
      <c r="B12" s="474" t="s">
        <v>407</v>
      </c>
      <c r="C12" s="475" t="s">
        <v>373</v>
      </c>
      <c r="D12" s="476" t="s">
        <v>375</v>
      </c>
      <c r="E12" s="477">
        <v>0.52</v>
      </c>
      <c r="F12" s="478" t="s">
        <v>410</v>
      </c>
      <c r="G12" s="473">
        <v>30</v>
      </c>
      <c r="H12" s="473"/>
    </row>
    <row r="13" spans="1:8" ht="20.399999999999999" x14ac:dyDescent="0.3">
      <c r="A13" s="474" t="s">
        <v>406</v>
      </c>
      <c r="B13" s="474" t="s">
        <v>407</v>
      </c>
      <c r="C13" s="475" t="s">
        <v>374</v>
      </c>
      <c r="D13" s="476" t="s">
        <v>376</v>
      </c>
      <c r="E13" s="477">
        <v>0.35</v>
      </c>
      <c r="F13" s="478" t="s">
        <v>411</v>
      </c>
      <c r="G13" s="473">
        <v>30</v>
      </c>
      <c r="H13" s="473"/>
    </row>
    <row r="14" spans="1:8" x14ac:dyDescent="0.3">
      <c r="A14" s="468" t="s">
        <v>406</v>
      </c>
      <c r="B14" s="468" t="s">
        <v>407</v>
      </c>
      <c r="C14" s="469" t="s">
        <v>378</v>
      </c>
      <c r="D14" s="468" t="s">
        <v>377</v>
      </c>
      <c r="E14" s="471">
        <v>0.8</v>
      </c>
      <c r="F14" s="478" t="s">
        <v>412</v>
      </c>
      <c r="G14" s="473">
        <v>30</v>
      </c>
      <c r="H14" s="473"/>
    </row>
    <row r="15" spans="1:8" x14ac:dyDescent="0.3">
      <c r="A15" s="468" t="s">
        <v>406</v>
      </c>
      <c r="B15" s="468" t="s">
        <v>407</v>
      </c>
      <c r="C15" s="469" t="s">
        <v>385</v>
      </c>
      <c r="D15" s="468" t="s">
        <v>386</v>
      </c>
      <c r="E15" s="471">
        <v>0.25</v>
      </c>
      <c r="F15" s="480" t="s">
        <v>413</v>
      </c>
      <c r="G15" s="473">
        <v>30</v>
      </c>
      <c r="H15" s="473"/>
    </row>
    <row r="16" spans="1:8" x14ac:dyDescent="0.3">
      <c r="A16" s="468" t="s">
        <v>406</v>
      </c>
      <c r="B16" s="468" t="s">
        <v>407</v>
      </c>
      <c r="C16" s="469" t="s">
        <v>387</v>
      </c>
      <c r="D16" s="468" t="s">
        <v>388</v>
      </c>
      <c r="E16" s="471">
        <v>0.13</v>
      </c>
      <c r="F16" s="478" t="s">
        <v>412</v>
      </c>
      <c r="G16" s="473">
        <v>30</v>
      </c>
      <c r="H16" s="473"/>
    </row>
    <row r="17" spans="1:8" x14ac:dyDescent="0.3">
      <c r="A17" s="468" t="s">
        <v>406</v>
      </c>
      <c r="B17" s="468" t="s">
        <v>407</v>
      </c>
      <c r="C17" s="469" t="s">
        <v>389</v>
      </c>
      <c r="D17" s="474" t="s">
        <v>390</v>
      </c>
      <c r="E17" s="477">
        <v>0.25</v>
      </c>
      <c r="F17" s="478" t="s">
        <v>412</v>
      </c>
      <c r="G17" s="473">
        <v>30</v>
      </c>
      <c r="H17" s="473"/>
    </row>
    <row r="18" spans="1:8" x14ac:dyDescent="0.3">
      <c r="A18" s="468" t="s">
        <v>406</v>
      </c>
      <c r="B18" s="468" t="s">
        <v>407</v>
      </c>
      <c r="C18" s="469" t="s">
        <v>391</v>
      </c>
      <c r="D18" s="468" t="s">
        <v>239</v>
      </c>
      <c r="E18" s="471">
        <v>0.8</v>
      </c>
      <c r="F18" s="478" t="s">
        <v>412</v>
      </c>
      <c r="G18" s="473">
        <v>30</v>
      </c>
      <c r="H18" s="473"/>
    </row>
    <row r="19" spans="1:8" ht="20.399999999999999" x14ac:dyDescent="0.3">
      <c r="A19" s="468" t="s">
        <v>406</v>
      </c>
      <c r="B19" s="468" t="s">
        <v>414</v>
      </c>
      <c r="C19" s="469" t="s">
        <v>348</v>
      </c>
      <c r="D19" s="470" t="s">
        <v>227</v>
      </c>
      <c r="E19" s="471">
        <v>0</v>
      </c>
      <c r="F19" s="472" t="s">
        <v>408</v>
      </c>
      <c r="G19" s="473">
        <v>30</v>
      </c>
      <c r="H19" s="473"/>
    </row>
    <row r="20" spans="1:8" x14ac:dyDescent="0.3">
      <c r="A20" s="468" t="s">
        <v>406</v>
      </c>
      <c r="B20" s="468" t="s">
        <v>414</v>
      </c>
      <c r="C20" s="469" t="s">
        <v>349</v>
      </c>
      <c r="D20" s="470" t="s">
        <v>228</v>
      </c>
      <c r="E20" s="469">
        <v>0.25</v>
      </c>
      <c r="F20" s="478" t="s">
        <v>412</v>
      </c>
      <c r="G20" s="473">
        <v>30</v>
      </c>
      <c r="H20" s="473"/>
    </row>
    <row r="21" spans="1:8" x14ac:dyDescent="0.3">
      <c r="A21" s="468" t="s">
        <v>406</v>
      </c>
      <c r="B21" s="468" t="s">
        <v>414</v>
      </c>
      <c r="C21" s="469" t="s">
        <v>350</v>
      </c>
      <c r="D21" s="470" t="s">
        <v>229</v>
      </c>
      <c r="E21" s="471">
        <v>0.4</v>
      </c>
      <c r="F21" s="478" t="s">
        <v>412</v>
      </c>
      <c r="G21" s="473">
        <v>30</v>
      </c>
      <c r="H21" s="473"/>
    </row>
    <row r="22" spans="1:8" x14ac:dyDescent="0.3">
      <c r="A22" s="468" t="s">
        <v>406</v>
      </c>
      <c r="B22" s="468" t="s">
        <v>414</v>
      </c>
      <c r="C22" s="469" t="s">
        <v>351</v>
      </c>
      <c r="D22" s="470" t="s">
        <v>230</v>
      </c>
      <c r="E22" s="471">
        <v>0.5</v>
      </c>
      <c r="F22" s="472" t="s">
        <v>409</v>
      </c>
      <c r="G22" s="473">
        <v>30</v>
      </c>
      <c r="H22" s="473"/>
    </row>
    <row r="23" spans="1:8" x14ac:dyDescent="0.3">
      <c r="A23" s="468" t="s">
        <v>406</v>
      </c>
      <c r="B23" s="468" t="s">
        <v>414</v>
      </c>
      <c r="C23" s="469" t="s">
        <v>352</v>
      </c>
      <c r="D23" s="470" t="s">
        <v>415</v>
      </c>
      <c r="E23" s="469">
        <v>0.65</v>
      </c>
      <c r="F23" s="478" t="s">
        <v>412</v>
      </c>
      <c r="G23" s="473">
        <v>30</v>
      </c>
      <c r="H23" s="473"/>
    </row>
    <row r="24" spans="1:8" ht="20.399999999999999" x14ac:dyDescent="0.3">
      <c r="A24" s="468" t="s">
        <v>406</v>
      </c>
      <c r="B24" s="468" t="s">
        <v>416</v>
      </c>
      <c r="C24" s="481" t="s">
        <v>353</v>
      </c>
      <c r="D24" s="470" t="s">
        <v>233</v>
      </c>
      <c r="E24" s="471">
        <v>0</v>
      </c>
      <c r="F24" s="472" t="s">
        <v>408</v>
      </c>
      <c r="G24" s="473">
        <v>17</v>
      </c>
      <c r="H24" s="473"/>
    </row>
    <row r="25" spans="1:8" x14ac:dyDescent="0.3">
      <c r="A25" s="468" t="s">
        <v>406</v>
      </c>
      <c r="B25" s="468" t="s">
        <v>416</v>
      </c>
      <c r="C25" s="469" t="s">
        <v>354</v>
      </c>
      <c r="D25" s="470" t="s">
        <v>234</v>
      </c>
      <c r="E25" s="471">
        <v>0.4</v>
      </c>
      <c r="F25" s="472" t="s">
        <v>409</v>
      </c>
      <c r="G25" s="473">
        <v>17</v>
      </c>
      <c r="H25" s="473"/>
    </row>
    <row r="26" spans="1:8" x14ac:dyDescent="0.3">
      <c r="A26" s="468" t="s">
        <v>406</v>
      </c>
      <c r="B26" s="468" t="s">
        <v>416</v>
      </c>
      <c r="C26" s="469" t="s">
        <v>355</v>
      </c>
      <c r="D26" s="470" t="s">
        <v>235</v>
      </c>
      <c r="E26" s="471">
        <v>0.8</v>
      </c>
      <c r="F26" s="478" t="s">
        <v>412</v>
      </c>
      <c r="G26" s="473">
        <v>16</v>
      </c>
      <c r="H26" s="473"/>
    </row>
    <row r="27" spans="1:8" x14ac:dyDescent="0.3">
      <c r="A27" s="468" t="s">
        <v>406</v>
      </c>
      <c r="B27" s="468" t="s">
        <v>416</v>
      </c>
      <c r="C27" s="469" t="s">
        <v>356</v>
      </c>
      <c r="D27" s="482" t="s">
        <v>398</v>
      </c>
      <c r="E27" s="471">
        <v>0.6</v>
      </c>
      <c r="F27" s="478" t="s">
        <v>412</v>
      </c>
      <c r="G27" s="473">
        <v>16</v>
      </c>
      <c r="H27" s="473"/>
    </row>
    <row r="28" spans="1:8" x14ac:dyDescent="0.3">
      <c r="A28" s="468" t="s">
        <v>406</v>
      </c>
      <c r="B28" s="468" t="s">
        <v>416</v>
      </c>
      <c r="C28" s="469" t="s">
        <v>357</v>
      </c>
      <c r="D28" s="482" t="s">
        <v>240</v>
      </c>
      <c r="E28" s="471">
        <v>1</v>
      </c>
      <c r="F28" s="478" t="s">
        <v>412</v>
      </c>
      <c r="G28" s="473">
        <v>17</v>
      </c>
      <c r="H28" s="473"/>
    </row>
    <row r="29" spans="1:8" x14ac:dyDescent="0.3">
      <c r="A29" s="468" t="s">
        <v>406</v>
      </c>
      <c r="B29" s="468" t="s">
        <v>416</v>
      </c>
      <c r="C29" s="469" t="s">
        <v>358</v>
      </c>
      <c r="D29" s="470" t="s">
        <v>236</v>
      </c>
      <c r="E29" s="471">
        <v>0.5</v>
      </c>
      <c r="F29" s="478" t="s">
        <v>412</v>
      </c>
      <c r="G29" s="473">
        <v>16</v>
      </c>
      <c r="H29" s="473"/>
    </row>
    <row r="30" spans="1:8" x14ac:dyDescent="0.3">
      <c r="A30" s="468" t="s">
        <v>406</v>
      </c>
      <c r="B30" s="468" t="s">
        <v>416</v>
      </c>
      <c r="C30" s="469" t="s">
        <v>359</v>
      </c>
      <c r="D30" s="470" t="s">
        <v>237</v>
      </c>
      <c r="E30" s="471">
        <v>0.6</v>
      </c>
      <c r="F30" s="472" t="s">
        <v>409</v>
      </c>
      <c r="G30" s="473">
        <v>17</v>
      </c>
      <c r="H30" s="473"/>
    </row>
    <row r="31" spans="1:8" x14ac:dyDescent="0.3">
      <c r="A31" s="468" t="s">
        <v>406</v>
      </c>
      <c r="B31" s="468" t="s">
        <v>416</v>
      </c>
      <c r="C31" s="469" t="s">
        <v>360</v>
      </c>
      <c r="D31" s="470" t="s">
        <v>238</v>
      </c>
      <c r="E31" s="471">
        <v>0.45</v>
      </c>
      <c r="F31" s="478" t="s">
        <v>412</v>
      </c>
      <c r="G31" s="473">
        <v>17</v>
      </c>
      <c r="H31" s="473"/>
    </row>
    <row r="32" spans="1:8" x14ac:dyDescent="0.3">
      <c r="A32" s="468"/>
      <c r="B32" s="468" t="s">
        <v>416</v>
      </c>
      <c r="C32" s="469" t="s">
        <v>361</v>
      </c>
      <c r="D32" s="470" t="s">
        <v>399</v>
      </c>
      <c r="E32" s="471">
        <v>0.25</v>
      </c>
      <c r="F32" s="478" t="s">
        <v>412</v>
      </c>
      <c r="G32" s="473">
        <v>17</v>
      </c>
      <c r="H32" s="473"/>
    </row>
    <row r="33" spans="1:8" x14ac:dyDescent="0.3">
      <c r="A33" s="468" t="s">
        <v>406</v>
      </c>
      <c r="B33" s="468" t="s">
        <v>416</v>
      </c>
      <c r="C33" s="469" t="s">
        <v>362</v>
      </c>
      <c r="D33" s="470" t="s">
        <v>239</v>
      </c>
      <c r="E33" s="471">
        <v>0.8</v>
      </c>
      <c r="F33" s="478" t="s">
        <v>412</v>
      </c>
      <c r="G33" s="473">
        <v>17</v>
      </c>
      <c r="H33" s="473"/>
    </row>
    <row r="34" spans="1:8" x14ac:dyDescent="0.3">
      <c r="A34" s="468" t="s">
        <v>406</v>
      </c>
      <c r="B34" s="468" t="s">
        <v>417</v>
      </c>
      <c r="C34" s="469" t="s">
        <v>364</v>
      </c>
      <c r="D34" s="470" t="s">
        <v>242</v>
      </c>
      <c r="E34" s="471">
        <v>0.7</v>
      </c>
      <c r="F34" s="472" t="s">
        <v>409</v>
      </c>
      <c r="G34" s="473">
        <v>21</v>
      </c>
      <c r="H34" s="473"/>
    </row>
    <row r="35" spans="1:8" x14ac:dyDescent="0.3">
      <c r="A35" s="468" t="s">
        <v>406</v>
      </c>
      <c r="B35" s="468" t="s">
        <v>417</v>
      </c>
      <c r="C35" s="469" t="s">
        <v>365</v>
      </c>
      <c r="D35" s="470" t="s">
        <v>276</v>
      </c>
      <c r="E35" s="471">
        <v>0.8</v>
      </c>
      <c r="F35" s="472" t="s">
        <v>409</v>
      </c>
      <c r="G35" s="473">
        <v>21</v>
      </c>
      <c r="H35" s="473"/>
    </row>
    <row r="36" spans="1:8" x14ac:dyDescent="0.3">
      <c r="A36" s="468" t="s">
        <v>406</v>
      </c>
      <c r="B36" s="468" t="s">
        <v>417</v>
      </c>
      <c r="C36" s="469" t="s">
        <v>366</v>
      </c>
      <c r="D36" s="470" t="s">
        <v>438</v>
      </c>
      <c r="E36" s="471">
        <v>0.9</v>
      </c>
      <c r="F36" s="472" t="s">
        <v>409</v>
      </c>
      <c r="G36" s="473">
        <v>21</v>
      </c>
      <c r="H36" s="473"/>
    </row>
    <row r="37" spans="1:8" x14ac:dyDescent="0.3">
      <c r="A37" s="468" t="s">
        <v>406</v>
      </c>
      <c r="B37" s="468" t="s">
        <v>417</v>
      </c>
      <c r="C37" s="469" t="s">
        <v>367</v>
      </c>
      <c r="D37" s="470" t="s">
        <v>277</v>
      </c>
      <c r="E37" s="471">
        <v>0.32500000000000001</v>
      </c>
      <c r="F37" s="472" t="s">
        <v>409</v>
      </c>
      <c r="G37" s="473">
        <v>21</v>
      </c>
      <c r="H37" s="473"/>
    </row>
    <row r="38" spans="1:8" x14ac:dyDescent="0.3">
      <c r="A38" s="468" t="s">
        <v>406</v>
      </c>
      <c r="B38" s="468" t="s">
        <v>417</v>
      </c>
      <c r="C38" s="469" t="s">
        <v>368</v>
      </c>
      <c r="D38" s="470" t="s">
        <v>278</v>
      </c>
      <c r="E38" s="471">
        <v>0.45</v>
      </c>
      <c r="F38" s="472" t="s">
        <v>409</v>
      </c>
      <c r="G38" s="473">
        <v>21</v>
      </c>
      <c r="H38" s="473"/>
    </row>
    <row r="39" spans="1:8" x14ac:dyDescent="0.3">
      <c r="A39" s="468" t="s">
        <v>406</v>
      </c>
      <c r="B39" s="468" t="s">
        <v>417</v>
      </c>
      <c r="C39" s="469" t="s">
        <v>369</v>
      </c>
      <c r="D39" s="470" t="s">
        <v>243</v>
      </c>
      <c r="E39" s="471">
        <v>0.3</v>
      </c>
      <c r="F39" s="472" t="s">
        <v>409</v>
      </c>
      <c r="G39" s="473">
        <v>21</v>
      </c>
      <c r="H39" s="473"/>
    </row>
    <row r="40" spans="1:8" x14ac:dyDescent="0.3">
      <c r="A40" s="468" t="s">
        <v>406</v>
      </c>
      <c r="B40" s="468" t="s">
        <v>417</v>
      </c>
      <c r="C40" s="469" t="s">
        <v>370</v>
      </c>
      <c r="D40" s="470" t="s">
        <v>418</v>
      </c>
      <c r="E40" s="471">
        <v>0.5</v>
      </c>
      <c r="F40" s="472" t="s">
        <v>409</v>
      </c>
      <c r="G40" s="473">
        <v>21</v>
      </c>
      <c r="H40" s="473"/>
    </row>
  </sheetData>
  <sheetProtection sheet="1" objects="1" scenarios="1" formatCells="0" formatColumns="0"/>
  <mergeCells count="1">
    <mergeCell ref="G1:H1"/>
  </mergeCells>
  <hyperlinks>
    <hyperlink ref="F10" r:id="rId1"/>
    <hyperlink ref="F11" r:id="rId2"/>
    <hyperlink ref="F12" r:id="rId3"/>
    <hyperlink ref="F13" r:id="rId4" display="Guia de las MTD's"/>
    <hyperlink ref="F14" r:id="rId5"/>
    <hyperlink ref="F15" r:id="rId6"/>
    <hyperlink ref="F16" r:id="rId7"/>
    <hyperlink ref="F17" r:id="rId8"/>
    <hyperlink ref="F32" r:id="rId9"/>
    <hyperlink ref="F31" r:id="rId10"/>
    <hyperlink ref="F28" r:id="rId11"/>
    <hyperlink ref="F33" r:id="rId12"/>
    <hyperlink ref="F29" r:id="rId13"/>
    <hyperlink ref="F27" r:id="rId14"/>
    <hyperlink ref="F26" r:id="rId15"/>
    <hyperlink ref="F23" r:id="rId16"/>
    <hyperlink ref="F21" r:id="rId17"/>
    <hyperlink ref="F20" r:id="rId18"/>
    <hyperlink ref="F18" r:id="rId19"/>
    <hyperlink ref="F9" r:id="rId20"/>
  </hyperlinks>
  <pageMargins left="0.7" right="0.7" top="0.75" bottom="0.75" header="0.3" footer="0.3"/>
  <pageSetup paperSize="9" orientation="portrait"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7</vt:i4>
      </vt:variant>
      <vt:variant>
        <vt:lpstr>Intervals amb nom</vt:lpstr>
      </vt:variant>
      <vt:variant>
        <vt:i4>2</vt:i4>
      </vt:variant>
    </vt:vector>
  </HeadingPairs>
  <TitlesOfParts>
    <vt:vector size="9" baseType="lpstr">
      <vt:lpstr>Instruccions</vt:lpstr>
      <vt:lpstr>Dades</vt:lpstr>
      <vt:lpstr>Resultats</vt:lpstr>
      <vt:lpstr>Càlculs</vt:lpstr>
      <vt:lpstr>F.Emissió</vt:lpstr>
      <vt:lpstr>F.Distribució</vt:lpstr>
      <vt:lpstr>Coeficients reducció</vt:lpstr>
      <vt:lpstr>A_almacenamiento</vt:lpstr>
      <vt:lpstr>Resultats!Àrea_d'impressió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Calculadora emissions porcí</dc:title>
  <dc:creator>Generalitat de Catalunya</dc:creator>
  <cp:lastModifiedBy>Domenech Pont, Nuria</cp:lastModifiedBy>
  <cp:lastPrinted>2023-07-21T11:45:36Z</cp:lastPrinted>
  <dcterms:created xsi:type="dcterms:W3CDTF">2015-12-03T12:52:24Z</dcterms:created>
  <dcterms:modified xsi:type="dcterms:W3CDTF">2023-07-24T12:18:37Z</dcterms:modified>
</cp:coreProperties>
</file>